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13_ncr:1_{00DCE839-EE29-4032-9803-AB443FD88112}" xr6:coauthVersionLast="46" xr6:coauthVersionMax="46" xr10:uidLastSave="{00000000-0000-0000-0000-000000000000}"/>
  <bookViews>
    <workbookView xWindow="57480" yWindow="-120" windowWidth="29040" windowHeight="15840" tabRatio="703" xr2:uid="{4C8D94D1-B147-4A39-8AE7-27C4312C38D4}"/>
  </bookViews>
  <sheets>
    <sheet name="1 - Trmnt Req's" sheetId="15" r:id="rId1"/>
    <sheet name="2 - Splash Blend" sheetId="16" state="hidden" r:id="rId2"/>
  </sheets>
  <definedNames>
    <definedName name="_xlnm.Print_Area" localSheetId="0">'1 - Trmnt Req''s'!$A$1:$L$101</definedName>
    <definedName name="_xlnm.Print_Area" localSheetId="1">'2 - Splash Blend'!$A$1:$L$62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5" l="1"/>
  <c r="S59" i="16" l="1"/>
  <c r="R59" i="16"/>
  <c r="S58" i="16"/>
  <c r="R58" i="16"/>
  <c r="R57" i="16"/>
  <c r="R55" i="16"/>
  <c r="R54" i="16"/>
  <c r="R53" i="16"/>
  <c r="R43" i="16"/>
  <c r="R42" i="16"/>
  <c r="R41" i="16"/>
  <c r="R48" i="16"/>
  <c r="R47" i="16"/>
  <c r="D20" i="16"/>
  <c r="D21" i="16"/>
  <c r="D22" i="16" s="1"/>
  <c r="F38" i="16" s="1"/>
  <c r="F41" i="16"/>
  <c r="F56" i="16"/>
  <c r="D26" i="16"/>
  <c r="F26" i="16" s="1"/>
  <c r="D14" i="16"/>
  <c r="F36" i="15"/>
  <c r="F49" i="15" s="1"/>
  <c r="AH34" i="15"/>
  <c r="AH33" i="15"/>
  <c r="AH31" i="15"/>
  <c r="AH30" i="15"/>
  <c r="AH29" i="15"/>
  <c r="H30" i="15"/>
  <c r="H33" i="15"/>
  <c r="H31" i="15"/>
  <c r="AI50" i="15"/>
  <c r="AH50" i="15"/>
  <c r="AI49" i="15"/>
  <c r="AH49" i="15"/>
  <c r="AH48" i="15"/>
  <c r="AH46" i="15"/>
  <c r="AH45" i="15"/>
  <c r="AH44" i="15"/>
  <c r="H21" i="15"/>
  <c r="H20" i="15"/>
  <c r="H23" i="15"/>
  <c r="H25" i="15"/>
  <c r="R50" i="15"/>
  <c r="O86" i="15"/>
  <c r="F72" i="15"/>
  <c r="F82" i="15" s="1"/>
  <c r="F84" i="15" s="1"/>
  <c r="F85" i="15" s="1"/>
  <c r="R80" i="15"/>
  <c r="F75" i="15"/>
  <c r="F89" i="15"/>
  <c r="O56" i="15"/>
  <c r="F39" i="15"/>
  <c r="F56" i="15"/>
  <c r="F73" i="15"/>
  <c r="F76" i="15"/>
  <c r="F90" i="15" s="1"/>
  <c r="F91" i="15" s="1"/>
  <c r="O80" i="15"/>
  <c r="Q80" i="15"/>
  <c r="S80" i="15" s="1"/>
  <c r="Y80" i="15" s="1"/>
  <c r="Z80" i="15" s="1"/>
  <c r="AA80" i="15" s="1"/>
  <c r="U80" i="15" s="1"/>
  <c r="V80" i="15" s="1"/>
  <c r="W80" i="15" s="1"/>
  <c r="E98" i="15"/>
  <c r="X80" i="15" l="1"/>
  <c r="R86" i="15"/>
  <c r="F94" i="15" s="1"/>
  <c r="F92" i="15"/>
  <c r="F77" i="15"/>
  <c r="F51" i="15"/>
  <c r="F98" i="15" s="1"/>
  <c r="D27" i="16"/>
  <c r="F27" i="16" s="1"/>
  <c r="F49" i="16"/>
  <c r="F51" i="16" s="1"/>
  <c r="F52" i="16" s="1"/>
  <c r="F39" i="16"/>
  <c r="F42" i="16" s="1"/>
  <c r="D28" i="16"/>
  <c r="D29" i="16" s="1"/>
  <c r="F37" i="15"/>
  <c r="F40" i="15" s="1"/>
  <c r="F41" i="15" s="1"/>
  <c r="O50" i="15"/>
  <c r="Q50" i="15" s="1"/>
  <c r="S50" i="15" s="1"/>
  <c r="Y50" i="15" s="1"/>
  <c r="Z50" i="15" s="1"/>
  <c r="AA50" i="15" s="1"/>
  <c r="U50" i="15" s="1"/>
  <c r="V50" i="15" s="1"/>
  <c r="W50" i="15" s="1"/>
  <c r="F52" i="15" l="1"/>
  <c r="F99" i="15" s="1"/>
  <c r="K29" i="16"/>
  <c r="J29" i="16"/>
  <c r="E26" i="16"/>
  <c r="E27" i="16"/>
  <c r="F43" i="16"/>
  <c r="F57" i="16"/>
  <c r="F58" i="16" s="1"/>
  <c r="F59" i="16" s="1"/>
  <c r="F61" i="16" s="1"/>
  <c r="E28" i="16"/>
  <c r="F28" i="16"/>
  <c r="F29" i="16"/>
  <c r="F34" i="16" s="1"/>
  <c r="F35" i="16" s="1"/>
  <c r="I29" i="16"/>
  <c r="F57" i="15"/>
  <c r="F58" i="15" s="1"/>
  <c r="F59" i="15"/>
  <c r="X50" i="15"/>
  <c r="R56" i="15"/>
  <c r="F61" i="15" s="1"/>
  <c r="I30" i="16" l="1"/>
  <c r="I31" i="16" s="1"/>
  <c r="I32" i="16" s="1"/>
  <c r="J30" i="16"/>
  <c r="J31" i="16"/>
  <c r="J32" i="16" s="1"/>
  <c r="K30" i="16"/>
  <c r="K31" i="16" s="1"/>
  <c r="K32" i="16" s="1"/>
  <c r="E29" i="16"/>
</calcChain>
</file>

<file path=xl/sharedStrings.xml><?xml version="1.0" encoding="utf-8"?>
<sst xmlns="http://schemas.openxmlformats.org/spreadsheetml/2006/main" count="273" uniqueCount="155">
  <si>
    <t>Total Hardness</t>
  </si>
  <si>
    <t>Ca</t>
  </si>
  <si>
    <t>Mg</t>
  </si>
  <si>
    <t>meq/l</t>
  </si>
  <si>
    <t>Total</t>
  </si>
  <si>
    <t>Sodium</t>
  </si>
  <si>
    <t>Chloride</t>
  </si>
  <si>
    <t>No. Acres</t>
  </si>
  <si>
    <t>Total Cost</t>
  </si>
  <si>
    <t>ppm</t>
  </si>
  <si>
    <t>Date:</t>
  </si>
  <si>
    <t>mls/min</t>
  </si>
  <si>
    <t>fl. ozs/min</t>
  </si>
  <si>
    <t>fl. ozs/hr</t>
  </si>
  <si>
    <t>gpm</t>
  </si>
  <si>
    <t>-or-</t>
  </si>
  <si>
    <t>gph</t>
  </si>
  <si>
    <t>g/l</t>
  </si>
  <si>
    <t>Grower:</t>
  </si>
  <si>
    <t>Lab Technician:</t>
  </si>
  <si>
    <t>Distributor:</t>
  </si>
  <si>
    <t>Source of Data:</t>
  </si>
  <si>
    <t>Representative:</t>
  </si>
  <si>
    <t xml:space="preserve">Data Reference: </t>
  </si>
  <si>
    <t>1.</t>
  </si>
  <si>
    <t>Treatment Requirements</t>
  </si>
  <si>
    <t>Complete only 1 column</t>
  </si>
  <si>
    <t>mg/l - ppm</t>
  </si>
  <si>
    <t>Alkalinity, HCO3</t>
  </si>
  <si>
    <t xml:space="preserve">WaterSOLV Curative </t>
  </si>
  <si>
    <t>Trteatment Demand</t>
  </si>
  <si>
    <t>ppm Treatment - WATER</t>
  </si>
  <si>
    <t>gl. / A/ft.</t>
  </si>
  <si>
    <t>mls/gl</t>
  </si>
  <si>
    <t>mls / A ft.</t>
  </si>
  <si>
    <t>fl. ounces A/ft.</t>
  </si>
  <si>
    <t>2.</t>
  </si>
  <si>
    <t>Treatment Cost</t>
  </si>
  <si>
    <t>Ag/Harvest</t>
  </si>
  <si>
    <t>Acre ft. of water used</t>
  </si>
  <si>
    <t>Gallons of Chemistry</t>
  </si>
  <si>
    <t>Cost per gallon</t>
  </si>
  <si>
    <t>Cost per Acre</t>
  </si>
  <si>
    <t>3.</t>
  </si>
  <si>
    <t>Application Numbers</t>
  </si>
  <si>
    <t>gpm flow rate</t>
  </si>
  <si>
    <t>at gpm flow rate, number of units per A/ft. of water</t>
  </si>
  <si>
    <t>mls per minute treatment</t>
  </si>
  <si>
    <t>fl. ounces per minute</t>
  </si>
  <si>
    <t>4.</t>
  </si>
  <si>
    <t>WaterSOLV BC - Aerification</t>
  </si>
  <si>
    <t>Total Bacteria Exponent</t>
  </si>
  <si>
    <t>factor</t>
  </si>
  <si>
    <t>mls/A ft.</t>
  </si>
  <si>
    <t>5.</t>
  </si>
  <si>
    <t>6.</t>
  </si>
  <si>
    <t>Turf</t>
  </si>
  <si>
    <t>Ag</t>
  </si>
  <si>
    <t>7.</t>
  </si>
  <si>
    <t xml:space="preserve">Sulfate </t>
  </si>
  <si>
    <t>Treatment Amount (Consider maximum)</t>
  </si>
  <si>
    <t>Pump Station Water Volume (Consider maximum)</t>
  </si>
  <si>
    <t>Hours of Operation (See Note 1)</t>
  </si>
  <si>
    <t>Total Output, gph</t>
  </si>
  <si>
    <t>Amount of treatment to be disbursed by the pump</t>
  </si>
  <si>
    <t>2. Pump Capacity and % Setting</t>
  </si>
  <si>
    <t>What is the pump capacity, gph?</t>
  </si>
  <si>
    <t>Pump Setting</t>
  </si>
  <si>
    <t>Must be 100% or less or pump is under capacity need.</t>
  </si>
  <si>
    <t>If this exceeds 100%, the pump is under rated for the needed volume</t>
  </si>
  <si>
    <t>Treatment Gallons per hour</t>
  </si>
  <si>
    <t>Pump Capacity, gallons per hour</t>
  </si>
  <si>
    <t>Pump Setting %</t>
  </si>
  <si>
    <t>T.H., mg/l</t>
  </si>
  <si>
    <t>Na, mg/l</t>
  </si>
  <si>
    <t>Cl, mg/l</t>
  </si>
  <si>
    <t>SO4, mg/l</t>
  </si>
  <si>
    <t>Ca, ppm as CaCO3</t>
  </si>
  <si>
    <t>Mg, ppm as CaCO3</t>
  </si>
  <si>
    <t>WaterSOLV Curative AG</t>
  </si>
  <si>
    <t>WaterSOLV Curative AG - 2 part</t>
  </si>
  <si>
    <t>Bulk Drop Fee (after 1st)</t>
  </si>
  <si>
    <t>WaterSOLV BC - AG</t>
  </si>
  <si>
    <t>WaterSOLV BC - AG - 2 part</t>
  </si>
  <si>
    <t>MP</t>
  </si>
  <si>
    <t>C</t>
  </si>
  <si>
    <t>D</t>
  </si>
  <si>
    <t>Product</t>
  </si>
  <si>
    <t>Pkg.</t>
  </si>
  <si>
    <t>WaterSOLV Curative Turf</t>
  </si>
  <si>
    <t>WaterSOLV BC - Turf</t>
  </si>
  <si>
    <t>Million gallons / 3.068 = A/ft. of water</t>
  </si>
  <si>
    <t>Water use reduction not factored herein.</t>
  </si>
  <si>
    <t>Client:</t>
  </si>
  <si>
    <t>Block:</t>
  </si>
  <si>
    <t>Calculated Product Demand</t>
  </si>
  <si>
    <t>Curative</t>
  </si>
  <si>
    <t>BC</t>
  </si>
  <si>
    <t xml:space="preserve">Required Water Dilution </t>
  </si>
  <si>
    <t>MINIMUM 50%</t>
  </si>
  <si>
    <t>New Calculated Product Demand</t>
  </si>
  <si>
    <t>Dilution Selection</t>
  </si>
  <si>
    <t>2 = 50%</t>
  </si>
  <si>
    <t>4 = 75%</t>
  </si>
  <si>
    <t>5 = 80%</t>
  </si>
  <si>
    <t>ppm Application Rate</t>
  </si>
  <si>
    <t>gl. Container</t>
  </si>
  <si>
    <t xml:space="preserve">Formulated, % vol. </t>
  </si>
  <si>
    <t>Check</t>
  </si>
  <si>
    <t>Lbs</t>
  </si>
  <si>
    <t>Water</t>
  </si>
  <si>
    <t>Always add product to water</t>
  </si>
  <si>
    <t>NEVER mix the chemicals together without putting into 50% minimum water</t>
  </si>
  <si>
    <t>Lbs/gl.</t>
  </si>
  <si>
    <t>Specific Gravity</t>
  </si>
  <si>
    <t xml:space="preserve">Agriculture </t>
  </si>
  <si>
    <t>Pricing</t>
  </si>
  <si>
    <t xml:space="preserve">Complete items in yellow </t>
  </si>
  <si>
    <t>WaterSOLV Curative - (Acid, Mineral, Sodium)</t>
  </si>
  <si>
    <t>Notations (not used for calculations)</t>
  </si>
  <si>
    <t>Water Treatment Demand</t>
  </si>
  <si>
    <t xml:space="preserve">ppm </t>
  </si>
  <si>
    <t>WaterSOLV BC</t>
  </si>
  <si>
    <t>Facility:</t>
  </si>
  <si>
    <t>Crop:</t>
  </si>
  <si>
    <t>Determine WaterSOLV Application Rates for Water Treatment</t>
  </si>
  <si>
    <t>Data Required (4): Water Analysis, Bac T Analysis, Pump Station Flow Rate, Chemical Pump Volume Capacity, gph</t>
  </si>
  <si>
    <t>Not in Print View</t>
  </si>
  <si>
    <t xml:space="preserve"> &lt; -- Print View Border</t>
  </si>
  <si>
    <t>Splash Blend Calculator</t>
  </si>
  <si>
    <t>Creating one product of WaterSOLV Curative and BC</t>
  </si>
  <si>
    <t>Complete Items in Yellow</t>
  </si>
  <si>
    <t>Data Required (3): Treatment Requirements, Pump Station Flow Rate, Chemical feed rate pump capacity</t>
  </si>
  <si>
    <t xml:space="preserve">Splash Blend Pricing. </t>
  </si>
  <si>
    <t>Product $/gl</t>
  </si>
  <si>
    <t>Pricing Tiers</t>
  </si>
  <si>
    <t>Blending Fee %</t>
  </si>
  <si>
    <t>Per gallon</t>
  </si>
  <si>
    <t>Consider charging a blending fee of product.</t>
  </si>
  <si>
    <t>Total HCO3, mg/l</t>
  </si>
  <si>
    <t xml:space="preserve">Water Quality </t>
  </si>
  <si>
    <t>Treatment Demand</t>
  </si>
  <si>
    <t>Water Used</t>
  </si>
  <si>
    <t>Acre ft. ( 1 A/ft. = 325,851 gl)</t>
  </si>
  <si>
    <t>Million Gallons (1 million gallons = 3.069 A/Ft.)</t>
  </si>
  <si>
    <t>Gallons of Curative</t>
  </si>
  <si>
    <t>Acre ft. per acre</t>
  </si>
  <si>
    <t>Select One</t>
  </si>
  <si>
    <t>Required if Acre ft. per acre is selected</t>
  </si>
  <si>
    <t>(If No. of acres selected)</t>
  </si>
  <si>
    <t>Water Use Reduction NOT factored in</t>
  </si>
  <si>
    <t>-and-</t>
  </si>
  <si>
    <t xml:space="preserve">WaterSOLV Quick Calc. </t>
  </si>
  <si>
    <t>Nitrate (NO3-N)</t>
  </si>
  <si>
    <t>NO3-N,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</si>
</sst>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General_)"/>
    <numFmt numFmtId="167" formatCode="_(* #,##0_);_(* \(#,##0\);_(* &quot;-&quot;??_);_(@_)"/>
    <numFmt numFmtId="168" formatCode="0.000"/>
    <numFmt numFmtId="169" formatCode="0.0%"/>
  </numFmts>
  <fonts count="2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0"/>
      <name val="Calibri"/>
      <family val="2"/>
    </font>
    <font>
      <sz val="10"/>
      <name val="Helv"/>
    </font>
    <font>
      <sz val="22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rgb="FFFF0000"/>
      <name val="Calibri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FF0000"/>
      <name val="Calibri Light"/>
      <family val="2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0"/>
      <color rgb="FFFF0000"/>
      <name val="Calibri"/>
      <family val="2"/>
    </font>
    <font>
      <sz val="16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2" fontId="0" fillId="2" borderId="1" xfId="0" applyNumberFormat="1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0" fillId="2" borderId="0" xfId="0" applyFill="1" applyProtection="1"/>
    <xf numFmtId="0" fontId="0" fillId="2" borderId="30" xfId="0" applyFill="1" applyBorder="1" applyProtection="1"/>
    <xf numFmtId="0" fontId="10" fillId="2" borderId="0" xfId="0" applyFont="1" applyFill="1" applyBorder="1" applyAlignment="1" applyProtection="1"/>
    <xf numFmtId="0" fontId="0" fillId="2" borderId="0" xfId="0" applyFill="1" applyBorder="1" applyProtection="1"/>
    <xf numFmtId="1" fontId="0" fillId="2" borderId="0" xfId="0" applyNumberFormat="1" applyFill="1" applyBorder="1" applyProtection="1"/>
    <xf numFmtId="0" fontId="0" fillId="2" borderId="8" xfId="0" applyFill="1" applyBorder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26" xfId="0" applyFill="1" applyBorder="1" applyProtection="1"/>
    <xf numFmtId="0" fontId="0" fillId="2" borderId="34" xfId="0" applyFill="1" applyBorder="1" applyAlignment="1" applyProtection="1">
      <alignment horizontal="left"/>
    </xf>
    <xf numFmtId="0" fontId="0" fillId="2" borderId="38" xfId="0" applyFill="1" applyBorder="1" applyProtection="1"/>
    <xf numFmtId="0" fontId="0" fillId="2" borderId="0" xfId="0" quotePrefix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9" fontId="12" fillId="4" borderId="15" xfId="2" applyFont="1" applyFill="1" applyBorder="1" applyAlignment="1" applyProtection="1">
      <alignment horizontal="center" vertical="center"/>
    </xf>
    <xf numFmtId="1" fontId="0" fillId="2" borderId="1" xfId="0" applyNumberFormat="1" applyFill="1" applyBorder="1" applyProtection="1"/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19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Protection="1">
      <protection locked="0"/>
    </xf>
    <xf numFmtId="9" fontId="0" fillId="2" borderId="1" xfId="0" applyNumberFormat="1" applyFill="1" applyBorder="1" applyProtection="1"/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0" xfId="0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vertical="center"/>
      <protection locked="0"/>
    </xf>
    <xf numFmtId="169" fontId="0" fillId="2" borderId="1" xfId="0" applyNumberFormat="1" applyFill="1" applyBorder="1" applyProtection="1"/>
    <xf numFmtId="0" fontId="0" fillId="2" borderId="0" xfId="0" quotePrefix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Protection="1"/>
    <xf numFmtId="0" fontId="0" fillId="2" borderId="36" xfId="0" applyFill="1" applyBorder="1" applyProtection="1"/>
    <xf numFmtId="0" fontId="8" fillId="2" borderId="36" xfId="0" applyFont="1" applyFill="1" applyBorder="1" applyAlignment="1" applyProtection="1">
      <alignment horizontal="left"/>
    </xf>
    <xf numFmtId="0" fontId="0" fillId="2" borderId="36" xfId="0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14" fontId="0" fillId="2" borderId="0" xfId="0" applyNumberForma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 vertical="center" wrapText="1"/>
    </xf>
    <xf numFmtId="0" fontId="0" fillId="2" borderId="24" xfId="0" applyFill="1" applyBorder="1" applyAlignment="1" applyProtection="1">
      <alignment horizontal="center"/>
    </xf>
    <xf numFmtId="0" fontId="23" fillId="2" borderId="26" xfId="0" applyFont="1" applyFill="1" applyBorder="1" applyProtection="1"/>
    <xf numFmtId="0" fontId="21" fillId="2" borderId="0" xfId="0" applyFont="1" applyFill="1" applyBorder="1" applyProtection="1"/>
    <xf numFmtId="1" fontId="0" fillId="2" borderId="0" xfId="0" applyNumberFormat="1" applyFill="1" applyProtection="1"/>
    <xf numFmtId="0" fontId="17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/>
    </xf>
    <xf numFmtId="0" fontId="15" fillId="2" borderId="1" xfId="0" applyFont="1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2" fontId="0" fillId="2" borderId="43" xfId="0" applyNumberFormat="1" applyFill="1" applyBorder="1" applyProtection="1"/>
    <xf numFmtId="0" fontId="0" fillId="2" borderId="7" xfId="0" applyFill="1" applyBorder="1" applyProtection="1"/>
    <xf numFmtId="0" fontId="0" fillId="2" borderId="9" xfId="0" applyFill="1" applyBorder="1" applyProtection="1"/>
    <xf numFmtId="2" fontId="0" fillId="2" borderId="9" xfId="0" applyNumberFormat="1" applyFill="1" applyBorder="1" applyProtection="1"/>
    <xf numFmtId="0" fontId="0" fillId="2" borderId="11" xfId="0" applyFill="1" applyBorder="1" applyProtection="1"/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44" fontId="15" fillId="2" borderId="0" xfId="1" applyFont="1" applyFill="1" applyBorder="1" applyProtection="1"/>
    <xf numFmtId="0" fontId="0" fillId="2" borderId="24" xfId="0" applyFill="1" applyBorder="1" applyProtection="1"/>
    <xf numFmtId="1" fontId="0" fillId="2" borderId="10" xfId="0" applyNumberFormat="1" applyFill="1" applyBorder="1" applyProtection="1"/>
    <xf numFmtId="2" fontId="0" fillId="2" borderId="0" xfId="0" applyNumberFormat="1" applyFill="1" applyBorder="1" applyProtection="1"/>
    <xf numFmtId="2" fontId="0" fillId="2" borderId="0" xfId="0" applyNumberForma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16" fillId="2" borderId="0" xfId="0" applyFont="1" applyFill="1" applyBorder="1" applyProtection="1"/>
    <xf numFmtId="0" fontId="11" fillId="0" borderId="19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0" xfId="0" applyFont="1" applyProtection="1"/>
    <xf numFmtId="0" fontId="11" fillId="0" borderId="17" xfId="0" applyFont="1" applyBorder="1" applyAlignment="1" applyProtection="1">
      <alignment horizont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2" borderId="0" xfId="0" applyFont="1" applyFill="1" applyProtection="1"/>
    <xf numFmtId="164" fontId="0" fillId="2" borderId="1" xfId="0" applyNumberFormat="1" applyFill="1" applyBorder="1" applyProtection="1"/>
    <xf numFmtId="0" fontId="11" fillId="2" borderId="2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2" fontId="11" fillId="5" borderId="21" xfId="0" applyNumberFormat="1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5" borderId="10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2" fontId="11" fillId="2" borderId="29" xfId="0" applyNumberFormat="1" applyFont="1" applyFill="1" applyBorder="1" applyAlignment="1" applyProtection="1">
      <alignment horizontal="center"/>
    </xf>
    <xf numFmtId="0" fontId="11" fillId="2" borderId="32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2" fontId="12" fillId="4" borderId="15" xfId="0" applyNumberFormat="1" applyFont="1" applyFill="1" applyBorder="1" applyAlignment="1" applyProtection="1">
      <alignment horizontal="center" vertical="center"/>
    </xf>
    <xf numFmtId="2" fontId="11" fillId="2" borderId="21" xfId="0" applyNumberFormat="1" applyFont="1" applyFill="1" applyBorder="1" applyAlignment="1" applyProtection="1">
      <alignment horizontal="center"/>
    </xf>
    <xf numFmtId="164" fontId="11" fillId="2" borderId="10" xfId="0" applyNumberFormat="1" applyFont="1" applyFill="1" applyBorder="1" applyAlignment="1" applyProtection="1">
      <alignment horizontal="center"/>
    </xf>
    <xf numFmtId="1" fontId="11" fillId="2" borderId="14" xfId="0" applyNumberFormat="1" applyFont="1" applyFill="1" applyBorder="1" applyAlignment="1" applyProtection="1">
      <alignment horizontal="center"/>
    </xf>
    <xf numFmtId="44" fontId="0" fillId="2" borderId="0" xfId="1" applyNumberFormat="1" applyFont="1" applyFill="1" applyBorder="1" applyProtection="1"/>
    <xf numFmtId="44" fontId="0" fillId="2" borderId="1" xfId="1" applyNumberFormat="1" applyFont="1" applyFill="1" applyBorder="1" applyProtection="1"/>
    <xf numFmtId="44" fontId="0" fillId="2" borderId="0" xfId="1" applyFont="1" applyFill="1" applyBorder="1" applyProtection="1"/>
    <xf numFmtId="44" fontId="0" fillId="2" borderId="1" xfId="1" applyFont="1" applyFill="1" applyBorder="1" applyProtection="1"/>
    <xf numFmtId="0" fontId="13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40" xfId="0" applyFont="1" applyBorder="1" applyProtection="1"/>
    <xf numFmtId="0" fontId="11" fillId="0" borderId="4" xfId="0" applyFont="1" applyBorder="1" applyProtection="1"/>
    <xf numFmtId="0" fontId="11" fillId="0" borderId="41" xfId="0" applyFont="1" applyBorder="1" applyAlignment="1" applyProtection="1">
      <alignment horizontal="center" vertical="center" wrapText="1"/>
    </xf>
    <xf numFmtId="0" fontId="11" fillId="0" borderId="33" xfId="0" applyFont="1" applyBorder="1" applyProtection="1"/>
    <xf numFmtId="0" fontId="11" fillId="0" borderId="0" xfId="0" applyFont="1" applyAlignment="1" applyProtection="1">
      <alignment horizontal="center" wrapText="1"/>
    </xf>
    <xf numFmtId="0" fontId="0" fillId="2" borderId="27" xfId="0" applyFill="1" applyBorder="1" applyProtection="1"/>
    <xf numFmtId="0" fontId="0" fillId="2" borderId="37" xfId="0" applyFill="1" applyBorder="1" applyProtection="1"/>
    <xf numFmtId="0" fontId="11" fillId="5" borderId="18" xfId="0" applyFont="1" applyFill="1" applyBorder="1" applyProtection="1"/>
    <xf numFmtId="0" fontId="11" fillId="0" borderId="39" xfId="0" applyFont="1" applyBorder="1" applyProtection="1"/>
    <xf numFmtId="0" fontId="11" fillId="0" borderId="25" xfId="0" applyFont="1" applyBorder="1" applyProtection="1"/>
    <xf numFmtId="1" fontId="14" fillId="0" borderId="0" xfId="0" applyNumberFormat="1" applyFont="1" applyProtection="1"/>
    <xf numFmtId="0" fontId="0" fillId="2" borderId="36" xfId="0" applyFill="1" applyBorder="1" applyAlignment="1" applyProtection="1">
      <alignment horizontal="left"/>
    </xf>
    <xf numFmtId="44" fontId="0" fillId="2" borderId="36" xfId="1" applyFont="1" applyFill="1" applyBorder="1" applyProtection="1"/>
    <xf numFmtId="44" fontId="0" fillId="2" borderId="34" xfId="1" applyFont="1" applyFill="1" applyBorder="1" applyProtection="1"/>
    <xf numFmtId="0" fontId="0" fillId="2" borderId="1" xfId="0" applyFill="1" applyBorder="1" applyAlignment="1" applyProtection="1">
      <alignment wrapText="1"/>
    </xf>
    <xf numFmtId="0" fontId="6" fillId="2" borderId="0" xfId="0" applyFont="1" applyFill="1" applyBorder="1" applyProtection="1"/>
    <xf numFmtId="0" fontId="0" fillId="2" borderId="43" xfId="0" applyFill="1" applyBorder="1" applyProtection="1"/>
    <xf numFmtId="1" fontId="0" fillId="2" borderId="24" xfId="0" applyNumberFormat="1" applyFill="1" applyBorder="1" applyProtection="1"/>
    <xf numFmtId="165" fontId="0" fillId="2" borderId="1" xfId="1" applyNumberFormat="1" applyFont="1" applyFill="1" applyBorder="1" applyProtection="1"/>
    <xf numFmtId="0" fontId="0" fillId="2" borderId="34" xfId="0" applyFill="1" applyBorder="1" applyAlignment="1" applyProtection="1">
      <alignment horizontal="center"/>
    </xf>
    <xf numFmtId="165" fontId="0" fillId="2" borderId="1" xfId="0" applyNumberFormat="1" applyFill="1" applyBorder="1" applyProtection="1"/>
    <xf numFmtId="44" fontId="0" fillId="2" borderId="1" xfId="0" applyNumberFormat="1" applyFill="1" applyBorder="1" applyProtection="1"/>
    <xf numFmtId="44" fontId="15" fillId="3" borderId="1" xfId="1" applyFont="1" applyFill="1" applyBorder="1" applyProtection="1"/>
    <xf numFmtId="44" fontId="15" fillId="6" borderId="1" xfId="1" applyFont="1" applyFill="1" applyBorder="1" applyProtection="1"/>
    <xf numFmtId="9" fontId="0" fillId="2" borderId="0" xfId="2" applyFont="1" applyFill="1" applyBorder="1" applyProtection="1"/>
    <xf numFmtId="167" fontId="2" fillId="2" borderId="0" xfId="4" applyNumberFormat="1" applyFont="1" applyFill="1" applyBorder="1" applyProtection="1"/>
    <xf numFmtId="43" fontId="2" fillId="2" borderId="0" xfId="4" applyFont="1" applyFill="1" applyBorder="1" applyProtection="1"/>
    <xf numFmtId="167" fontId="0" fillId="2" borderId="0" xfId="4" applyNumberFormat="1" applyFont="1" applyFill="1" applyBorder="1" applyProtection="1"/>
    <xf numFmtId="9" fontId="20" fillId="2" borderId="0" xfId="2" applyFont="1" applyFill="1" applyBorder="1" applyProtection="1"/>
    <xf numFmtId="0" fontId="6" fillId="2" borderId="38" xfId="0" applyFont="1" applyFill="1" applyBorder="1" applyProtection="1"/>
    <xf numFmtId="0" fontId="2" fillId="2" borderId="0" xfId="0" applyFont="1" applyFill="1" applyBorder="1" applyProtection="1"/>
    <xf numFmtId="0" fontId="24" fillId="2" borderId="36" xfId="0" applyFont="1" applyFill="1" applyBorder="1" applyProtection="1"/>
    <xf numFmtId="0" fontId="2" fillId="2" borderId="36" xfId="0" applyFont="1" applyFill="1" applyBorder="1" applyProtection="1"/>
    <xf numFmtId="0" fontId="2" fillId="2" borderId="37" xfId="0" applyFont="1" applyFill="1" applyBorder="1" applyProtection="1"/>
    <xf numFmtId="0" fontId="0" fillId="0" borderId="0" xfId="0" applyProtection="1"/>
    <xf numFmtId="0" fontId="25" fillId="2" borderId="0" xfId="0" applyFont="1" applyFill="1" applyBorder="1" applyProtection="1"/>
    <xf numFmtId="0" fontId="6" fillId="2" borderId="30" xfId="0" applyFont="1" applyFill="1" applyBorder="1" applyProtection="1"/>
    <xf numFmtId="0" fontId="18" fillId="2" borderId="0" xfId="0" applyFont="1" applyFill="1" applyBorder="1" applyProtection="1"/>
    <xf numFmtId="0" fontId="20" fillId="2" borderId="0" xfId="0" applyFont="1" applyFill="1" applyBorder="1" applyProtection="1"/>
    <xf numFmtId="9" fontId="2" fillId="2" borderId="0" xfId="0" applyNumberFormat="1" applyFont="1" applyFill="1" applyBorder="1" applyProtection="1"/>
    <xf numFmtId="2" fontId="0" fillId="0" borderId="0" xfId="0" applyNumberFormat="1" applyBorder="1" applyProtection="1"/>
    <xf numFmtId="0" fontId="20" fillId="2" borderId="0" xfId="0" applyFont="1" applyFill="1" applyBorder="1" applyAlignment="1" applyProtection="1">
      <alignment horizontal="center" vertical="center"/>
    </xf>
    <xf numFmtId="0" fontId="0" fillId="2" borderId="42" xfId="0" applyFill="1" applyBorder="1" applyProtection="1"/>
    <xf numFmtId="2" fontId="0" fillId="2" borderId="42" xfId="0" applyNumberFormat="1" applyFill="1" applyBorder="1" applyProtection="1"/>
    <xf numFmtId="168" fontId="0" fillId="2" borderId="0" xfId="0" applyNumberFormat="1" applyFill="1" applyBorder="1" applyProtection="1"/>
    <xf numFmtId="0" fontId="18" fillId="2" borderId="0" xfId="0" applyFont="1" applyFill="1" applyBorder="1" applyAlignment="1" applyProtection="1">
      <alignment horizontal="center"/>
    </xf>
    <xf numFmtId="9" fontId="0" fillId="2" borderId="42" xfId="0" applyNumberFormat="1" applyFill="1" applyBorder="1" applyProtection="1"/>
    <xf numFmtId="167" fontId="0" fillId="2" borderId="42" xfId="0" applyNumberFormat="1" applyFill="1" applyBorder="1" applyProtection="1"/>
    <xf numFmtId="164" fontId="0" fillId="2" borderId="0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0" fillId="2" borderId="45" xfId="0" applyFill="1" applyBorder="1" applyAlignment="1" applyProtection="1">
      <alignment horizontal="center"/>
    </xf>
    <xf numFmtId="0" fontId="0" fillId="2" borderId="45" xfId="0" applyFill="1" applyBorder="1" applyProtection="1"/>
    <xf numFmtId="9" fontId="3" fillId="5" borderId="1" xfId="2" applyFont="1" applyFill="1" applyBorder="1" applyProtection="1"/>
    <xf numFmtId="9" fontId="3" fillId="5" borderId="1" xfId="2" applyFont="1" applyFill="1" applyBorder="1" applyAlignment="1" applyProtection="1">
      <alignment horizontal="center"/>
      <protection locked="0"/>
    </xf>
    <xf numFmtId="44" fontId="0" fillId="5" borderId="1" xfId="1" applyFont="1" applyFill="1" applyBorder="1" applyProtection="1">
      <protection locked="0"/>
    </xf>
    <xf numFmtId="44" fontId="0" fillId="5" borderId="44" xfId="1" applyFont="1" applyFill="1" applyBorder="1" applyProtection="1">
      <protection locked="0"/>
    </xf>
    <xf numFmtId="0" fontId="20" fillId="2" borderId="0" xfId="0" applyFont="1" applyFill="1" applyProtection="1"/>
    <xf numFmtId="0" fontId="23" fillId="2" borderId="38" xfId="0" applyFont="1" applyFill="1" applyBorder="1" applyProtection="1"/>
    <xf numFmtId="0" fontId="0" fillId="2" borderId="0" xfId="0" applyFill="1" applyBorder="1" applyAlignment="1" applyProtection="1"/>
    <xf numFmtId="0" fontId="0" fillId="2" borderId="1" xfId="0" applyFill="1" applyBorder="1" applyProtection="1"/>
    <xf numFmtId="0" fontId="11" fillId="0" borderId="23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0" borderId="46" xfId="0" applyFont="1" applyBorder="1" applyAlignment="1" applyProtection="1">
      <alignment horizontal="center"/>
    </xf>
    <xf numFmtId="2" fontId="5" fillId="2" borderId="0" xfId="0" applyNumberFormat="1" applyFont="1" applyFill="1" applyBorder="1" applyProtection="1"/>
    <xf numFmtId="1" fontId="0" fillId="2" borderId="0" xfId="0" applyNumberFormat="1" applyFill="1" applyBorder="1" applyAlignment="1" applyProtection="1">
      <alignment horizontal="right"/>
    </xf>
    <xf numFmtId="44" fontId="0" fillId="2" borderId="0" xfId="1" applyNumberFormat="1" applyFont="1" applyFill="1" applyBorder="1" applyAlignment="1" applyProtection="1">
      <alignment horizontal="right"/>
    </xf>
    <xf numFmtId="0" fontId="0" fillId="5" borderId="43" xfId="0" applyFill="1" applyBorder="1" applyProtection="1">
      <protection locked="0"/>
    </xf>
    <xf numFmtId="0" fontId="0" fillId="5" borderId="47" xfId="0" applyFill="1" applyBorder="1" applyProtection="1">
      <protection locked="0"/>
    </xf>
    <xf numFmtId="0" fontId="10" fillId="2" borderId="4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14" fontId="0" fillId="5" borderId="1" xfId="0" applyNumberForma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6" fillId="7" borderId="38" xfId="0" quotePrefix="1" applyFont="1" applyFill="1" applyBorder="1" applyAlignment="1" applyProtection="1">
      <alignment horizontal="center"/>
    </xf>
    <xf numFmtId="0" fontId="6" fillId="7" borderId="0" xfId="0" quotePrefix="1" applyFont="1" applyFill="1" applyBorder="1" applyAlignment="1" applyProtection="1">
      <alignment horizontal="center"/>
    </xf>
    <xf numFmtId="0" fontId="6" fillId="7" borderId="30" xfId="0" quotePrefix="1" applyFont="1" applyFill="1" applyBorder="1" applyAlignment="1" applyProtection="1">
      <alignment horizontal="center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2" borderId="43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/>
    </xf>
    <xf numFmtId="0" fontId="21" fillId="2" borderId="36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 vertical="top"/>
      <protection locked="0"/>
    </xf>
    <xf numFmtId="14" fontId="0" fillId="5" borderId="1" xfId="0" applyNumberFormat="1" applyFill="1" applyBorder="1" applyAlignment="1" applyProtection="1">
      <alignment horizontal="left" vertical="top"/>
      <protection locked="0"/>
    </xf>
    <xf numFmtId="0" fontId="0" fillId="2" borderId="44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10" xfId="3" xr:uid="{A719009F-C23E-4BC4-A44A-634433C37569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620614</xdr:colOff>
      <xdr:row>64</xdr:row>
      <xdr:rowOff>86202</xdr:rowOff>
    </xdr:from>
    <xdr:to>
      <xdr:col>10</xdr:col>
      <xdr:colOff>550991</xdr:colOff>
      <xdr:row>69</xdr:row>
      <xdr:rowOff>268394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46CAA4-5138-4227-984C-C627769B3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1031" y="10690702"/>
          <a:ext cx="2618544" cy="1141465"/>
        </a:xfrm>
        <a:prstGeom prst="rect">
          <a:avLst/>
        </a:prstGeom>
      </xdr:spPr>
    </xdr:pic>
    <xdr:clientData/>
  </xdr:twoCellAnchor>
  <xdr:twoCellAnchor editAs="oneCell">
    <xdr:from>
      <xdr:col>8</xdr:col>
      <xdr:colOff>46142</xdr:colOff>
      <xdr:row>0</xdr:row>
      <xdr:rowOff>141394</xdr:rowOff>
    </xdr:from>
    <xdr:to>
      <xdr:col>11</xdr:col>
      <xdr:colOff>49107</xdr:colOff>
      <xdr:row>3</xdr:row>
      <xdr:rowOff>126892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CA46F7-4A03-422B-8450-01F6845BF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9309" y="141394"/>
          <a:ext cx="2056131" cy="70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17F3-AE16-4EC8-9CEC-35D2C9C22177}">
  <sheetPr>
    <tabColor theme="4" tint="-0.249977111117893"/>
  </sheetPr>
  <dimension ref="A1:AJ102"/>
  <sheetViews>
    <sheetView tabSelected="1" zoomScale="90" zoomScaleNormal="90" workbookViewId="0">
      <selection activeCell="E8" sqref="E8:G8"/>
    </sheetView>
  </sheetViews>
  <sheetFormatPr defaultColWidth="8.8203125" defaultRowHeight="12.9" x14ac:dyDescent="0.5"/>
  <cols>
    <col min="1" max="1" width="3.17578125" style="4" customWidth="1"/>
    <col min="2" max="2" width="1.5859375" style="4" customWidth="1"/>
    <col min="3" max="3" width="3.41015625" style="16" customWidth="1"/>
    <col min="4" max="4" width="14.8203125" style="4" customWidth="1"/>
    <col min="5" max="5" width="13.17578125" style="4" customWidth="1"/>
    <col min="6" max="6" width="10.5859375" style="4" customWidth="1"/>
    <col min="7" max="7" width="9.8203125" style="4" customWidth="1"/>
    <col min="8" max="8" width="14" style="4" customWidth="1"/>
    <col min="9" max="10" width="8.8203125" style="4"/>
    <col min="11" max="11" width="14.17578125" style="4" customWidth="1"/>
    <col min="12" max="12" width="5.8203125" style="4" customWidth="1"/>
    <col min="13" max="13" width="2" style="4" customWidth="1"/>
    <col min="14" max="14" width="3.17578125" style="4" customWidth="1"/>
    <col min="15" max="15" width="18.5859375" style="4" hidden="1" customWidth="1"/>
    <col min="16" max="16" width="13.41015625" style="4" hidden="1" customWidth="1"/>
    <col min="17" max="17" width="6.5859375" style="4" hidden="1" customWidth="1"/>
    <col min="18" max="18" width="16.8203125" style="4" hidden="1" customWidth="1"/>
    <col min="19" max="20" width="31.17578125" style="4" hidden="1" customWidth="1"/>
    <col min="21" max="28" width="8.8203125" style="4" hidden="1" customWidth="1"/>
    <col min="29" max="29" width="14.41015625" style="4" customWidth="1"/>
    <col min="30" max="30" width="0" style="4" hidden="1" customWidth="1"/>
    <col min="31" max="31" width="24.5859375" style="4" hidden="1" customWidth="1"/>
    <col min="32" max="32" width="7.41015625" style="4" hidden="1" customWidth="1"/>
    <col min="33" max="34" width="10.5859375" style="4" hidden="1" customWidth="1"/>
    <col min="35" max="35" width="11.17578125" style="4" hidden="1" customWidth="1"/>
    <col min="36" max="36" width="0" style="4" hidden="1" customWidth="1"/>
    <col min="37" max="16384" width="8.8203125" style="4"/>
  </cols>
  <sheetData>
    <row r="1" spans="1:13" x14ac:dyDescent="0.5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5" t="s">
        <v>128</v>
      </c>
    </row>
    <row r="2" spans="1:13" ht="28.2" x14ac:dyDescent="1.05">
      <c r="A2" s="14"/>
      <c r="B2" s="36"/>
      <c r="C2" s="37" t="s">
        <v>152</v>
      </c>
      <c r="D2" s="36"/>
      <c r="E2" s="36"/>
      <c r="F2" s="36"/>
      <c r="G2" s="36"/>
      <c r="H2" s="38"/>
      <c r="I2" s="38"/>
      <c r="J2" s="38"/>
      <c r="K2" s="38"/>
      <c r="L2" s="5"/>
    </row>
    <row r="3" spans="1:13" ht="15.6" x14ac:dyDescent="0.6">
      <c r="A3" s="14"/>
      <c r="B3" s="7"/>
      <c r="C3" s="39" t="s">
        <v>125</v>
      </c>
      <c r="D3" s="7"/>
      <c r="E3" s="7"/>
      <c r="F3" s="7"/>
      <c r="G3" s="7"/>
      <c r="H3" s="40"/>
      <c r="I3" s="40"/>
      <c r="J3" s="40"/>
      <c r="K3" s="40"/>
      <c r="L3" s="5"/>
    </row>
    <row r="4" spans="1:13" ht="12.55" customHeight="1" x14ac:dyDescent="1.05">
      <c r="A4" s="14"/>
      <c r="B4" s="7"/>
      <c r="C4" s="41"/>
      <c r="D4" s="7"/>
      <c r="E4" s="7"/>
      <c r="F4" s="7"/>
      <c r="G4" s="7"/>
      <c r="H4" s="40"/>
      <c r="I4" s="40"/>
      <c r="J4" s="40"/>
      <c r="K4" s="40"/>
      <c r="L4" s="5"/>
    </row>
    <row r="5" spans="1:13" x14ac:dyDescent="0.5">
      <c r="A5" s="14"/>
      <c r="B5" s="7"/>
      <c r="C5" s="42" t="s">
        <v>117</v>
      </c>
      <c r="D5" s="43"/>
      <c r="E5" s="7"/>
      <c r="F5" s="7"/>
      <c r="G5" s="7"/>
      <c r="H5" s="7"/>
      <c r="I5" s="7"/>
      <c r="J5" s="7"/>
      <c r="K5" s="7"/>
      <c r="L5" s="5"/>
    </row>
    <row r="6" spans="1:13" x14ac:dyDescent="0.5">
      <c r="A6" s="14"/>
      <c r="B6" s="7"/>
      <c r="C6" s="42" t="s">
        <v>126</v>
      </c>
      <c r="D6" s="43"/>
      <c r="E6" s="7"/>
      <c r="F6" s="7"/>
      <c r="G6" s="7"/>
      <c r="H6" s="44"/>
      <c r="I6" s="45"/>
      <c r="J6" s="45"/>
      <c r="K6" s="45"/>
      <c r="L6" s="5"/>
    </row>
    <row r="7" spans="1:13" x14ac:dyDescent="0.5">
      <c r="A7" s="14"/>
      <c r="B7" s="7"/>
      <c r="C7" s="42"/>
      <c r="D7" s="43"/>
      <c r="E7" s="7"/>
      <c r="F7" s="7"/>
      <c r="G7" s="7"/>
      <c r="H7" s="44"/>
      <c r="I7" s="45"/>
      <c r="J7" s="45"/>
      <c r="K7" s="45"/>
      <c r="L7" s="5"/>
    </row>
    <row r="8" spans="1:13" x14ac:dyDescent="0.5">
      <c r="A8" s="14"/>
      <c r="B8" s="7"/>
      <c r="C8" s="42"/>
      <c r="D8" s="46" t="s">
        <v>18</v>
      </c>
      <c r="E8" s="190"/>
      <c r="F8" s="190"/>
      <c r="G8" s="190"/>
      <c r="H8" s="44" t="s">
        <v>124</v>
      </c>
      <c r="I8" s="189"/>
      <c r="J8" s="189"/>
      <c r="K8" s="189"/>
      <c r="L8" s="5"/>
    </row>
    <row r="9" spans="1:13" x14ac:dyDescent="0.5">
      <c r="A9" s="14"/>
      <c r="B9" s="7"/>
      <c r="C9" s="47"/>
      <c r="D9" s="46" t="s">
        <v>123</v>
      </c>
      <c r="E9" s="190"/>
      <c r="F9" s="190"/>
      <c r="G9" s="190"/>
      <c r="H9" s="44" t="s">
        <v>10</v>
      </c>
      <c r="I9" s="189"/>
      <c r="J9" s="189"/>
      <c r="K9" s="189"/>
      <c r="L9" s="5"/>
    </row>
    <row r="10" spans="1:13" ht="13.75" customHeight="1" x14ac:dyDescent="0.5">
      <c r="A10" s="14"/>
      <c r="B10" s="7"/>
      <c r="C10" s="7"/>
      <c r="D10" s="46" t="s">
        <v>94</v>
      </c>
      <c r="E10" s="190"/>
      <c r="F10" s="190"/>
      <c r="G10" s="190"/>
      <c r="H10" s="44" t="s">
        <v>19</v>
      </c>
      <c r="I10" s="189"/>
      <c r="J10" s="189"/>
      <c r="K10" s="189"/>
      <c r="L10" s="5"/>
    </row>
    <row r="11" spans="1:13" ht="13.75" customHeight="1" x14ac:dyDescent="0.5">
      <c r="A11" s="14"/>
      <c r="B11" s="7"/>
      <c r="C11" s="7"/>
      <c r="D11" s="46" t="s">
        <v>20</v>
      </c>
      <c r="E11" s="190"/>
      <c r="F11" s="190"/>
      <c r="G11" s="190"/>
      <c r="H11" s="48" t="s">
        <v>21</v>
      </c>
      <c r="I11" s="189"/>
      <c r="J11" s="189"/>
      <c r="K11" s="189"/>
      <c r="L11" s="5"/>
    </row>
    <row r="12" spans="1:13" ht="25.8" x14ac:dyDescent="0.5">
      <c r="A12" s="14"/>
      <c r="B12" s="7"/>
      <c r="C12" s="7"/>
      <c r="D12" s="46" t="s">
        <v>22</v>
      </c>
      <c r="E12" s="190"/>
      <c r="F12" s="190"/>
      <c r="G12" s="190"/>
      <c r="H12" s="48" t="s">
        <v>23</v>
      </c>
      <c r="I12" s="189"/>
      <c r="J12" s="189"/>
      <c r="K12" s="189"/>
      <c r="L12" s="5"/>
    </row>
    <row r="13" spans="1:13" x14ac:dyDescent="0.5">
      <c r="A13" s="14"/>
      <c r="B13" s="7"/>
      <c r="C13" s="47"/>
      <c r="D13" s="7"/>
      <c r="E13" s="7"/>
      <c r="F13" s="7"/>
      <c r="G13" s="7"/>
      <c r="H13" s="7"/>
      <c r="I13" s="7"/>
      <c r="J13" s="7"/>
      <c r="K13" s="7"/>
      <c r="L13" s="5"/>
    </row>
    <row r="14" spans="1:13" x14ac:dyDescent="0.5">
      <c r="A14" s="14"/>
      <c r="B14" s="12"/>
      <c r="C14" s="13"/>
      <c r="D14" s="2"/>
      <c r="E14" s="2"/>
      <c r="F14" s="2"/>
      <c r="G14" s="2"/>
      <c r="H14" s="2"/>
      <c r="I14" s="2"/>
      <c r="J14" s="2"/>
      <c r="K14" s="3"/>
      <c r="L14" s="5"/>
    </row>
    <row r="15" spans="1:13" x14ac:dyDescent="0.5">
      <c r="A15" s="14"/>
      <c r="B15" s="14"/>
      <c r="C15" s="31" t="s">
        <v>24</v>
      </c>
      <c r="D15" s="32" t="s">
        <v>118</v>
      </c>
      <c r="E15" s="7"/>
      <c r="F15" s="7"/>
      <c r="G15" s="7"/>
      <c r="H15" s="7"/>
      <c r="I15" s="7"/>
      <c r="J15" s="7"/>
      <c r="K15" s="5"/>
      <c r="L15" s="5"/>
    </row>
    <row r="16" spans="1:13" ht="20.5" customHeight="1" x14ac:dyDescent="0.5">
      <c r="A16" s="14"/>
      <c r="B16" s="14"/>
      <c r="C16" s="33"/>
      <c r="D16" s="7" t="s">
        <v>140</v>
      </c>
      <c r="E16" s="7"/>
      <c r="F16" s="7"/>
      <c r="G16" s="7"/>
      <c r="H16" s="7"/>
      <c r="I16" s="7"/>
      <c r="J16" s="7"/>
      <c r="K16" s="5"/>
      <c r="L16" s="5"/>
    </row>
    <row r="17" spans="1:36" x14ac:dyDescent="0.5">
      <c r="A17" s="14"/>
      <c r="B17" s="14"/>
      <c r="C17" s="33"/>
      <c r="D17" s="7"/>
      <c r="E17" s="7"/>
      <c r="F17" s="7"/>
      <c r="G17" s="7"/>
      <c r="H17" s="7"/>
      <c r="I17" s="7"/>
      <c r="J17" s="7"/>
      <c r="K17" s="5"/>
      <c r="L17" s="5"/>
    </row>
    <row r="18" spans="1:36" x14ac:dyDescent="0.5">
      <c r="A18" s="14"/>
      <c r="B18" s="14"/>
      <c r="C18" s="33"/>
      <c r="D18" s="12"/>
      <c r="E18" s="188" t="s">
        <v>26</v>
      </c>
      <c r="F18" s="188"/>
      <c r="G18" s="6"/>
      <c r="H18" s="7"/>
      <c r="I18" s="7"/>
      <c r="J18" s="7"/>
      <c r="K18" s="5"/>
      <c r="L18" s="5"/>
    </row>
    <row r="19" spans="1:36" x14ac:dyDescent="0.5">
      <c r="A19" s="14"/>
      <c r="B19" s="14"/>
      <c r="C19" s="33"/>
      <c r="D19" s="14"/>
      <c r="E19" s="49" t="s">
        <v>3</v>
      </c>
      <c r="F19" s="49" t="s">
        <v>27</v>
      </c>
      <c r="G19" s="7"/>
      <c r="H19" s="34"/>
      <c r="I19" s="7"/>
      <c r="J19" s="7"/>
      <c r="K19" s="5"/>
      <c r="L19" s="5"/>
    </row>
    <row r="20" spans="1:36" x14ac:dyDescent="0.5">
      <c r="A20" s="14"/>
      <c r="B20" s="14"/>
      <c r="C20" s="33"/>
      <c r="D20" s="14" t="s">
        <v>1</v>
      </c>
      <c r="E20" s="19"/>
      <c r="F20" s="19"/>
      <c r="G20" s="7"/>
      <c r="H20" s="18">
        <f>+(E20*20.4)+(F20)*2.5</f>
        <v>0</v>
      </c>
      <c r="I20" s="7" t="s">
        <v>77</v>
      </c>
      <c r="J20" s="7"/>
      <c r="K20" s="5"/>
      <c r="L20" s="5"/>
    </row>
    <row r="21" spans="1:36" x14ac:dyDescent="0.5">
      <c r="A21" s="14"/>
      <c r="B21" s="14"/>
      <c r="C21" s="33"/>
      <c r="D21" s="14" t="s">
        <v>2</v>
      </c>
      <c r="E21" s="19"/>
      <c r="F21" s="19"/>
      <c r="G21" s="7"/>
      <c r="H21" s="18">
        <f>+(E21*12.22)+(F21)*4.1</f>
        <v>0</v>
      </c>
      <c r="I21" s="7" t="s">
        <v>78</v>
      </c>
      <c r="J21" s="7"/>
      <c r="K21" s="5"/>
      <c r="L21" s="5"/>
    </row>
    <row r="22" spans="1:36" x14ac:dyDescent="0.5">
      <c r="A22" s="14"/>
      <c r="B22" s="14"/>
      <c r="C22" s="33"/>
      <c r="D22" s="191" t="s">
        <v>15</v>
      </c>
      <c r="E22" s="192"/>
      <c r="F22" s="193"/>
      <c r="G22" s="7"/>
      <c r="H22" s="7"/>
      <c r="I22" s="7"/>
      <c r="J22" s="7"/>
      <c r="K22" s="5"/>
      <c r="L22" s="5"/>
    </row>
    <row r="23" spans="1:36" x14ac:dyDescent="0.5">
      <c r="A23" s="14"/>
      <c r="B23" s="14"/>
      <c r="C23" s="33"/>
      <c r="D23" s="14" t="s">
        <v>0</v>
      </c>
      <c r="E23" s="174"/>
      <c r="F23" s="19"/>
      <c r="G23" s="7"/>
      <c r="H23" s="18">
        <f>+((E20*20.4)*2.5)+((E21*12.22)*4.1)+(F20*2.5)+(F21*4.1)</f>
        <v>0</v>
      </c>
      <c r="I23" s="7" t="s">
        <v>73</v>
      </c>
      <c r="J23" s="7"/>
      <c r="K23" s="5"/>
      <c r="L23" s="5"/>
      <c r="AD23" s="50" t="s">
        <v>127</v>
      </c>
      <c r="AE23" s="2"/>
      <c r="AF23" s="2"/>
      <c r="AG23" s="2"/>
      <c r="AH23" s="2"/>
      <c r="AI23" s="2"/>
      <c r="AJ23" s="3"/>
    </row>
    <row r="24" spans="1:36" x14ac:dyDescent="0.5">
      <c r="A24" s="14"/>
      <c r="B24" s="14"/>
      <c r="C24" s="33"/>
      <c r="D24" s="191" t="s">
        <v>151</v>
      </c>
      <c r="E24" s="192"/>
      <c r="F24" s="193"/>
      <c r="G24" s="7"/>
      <c r="H24" s="8"/>
      <c r="I24" s="7"/>
      <c r="J24" s="7"/>
      <c r="K24" s="5"/>
      <c r="L24" s="5"/>
      <c r="AD24" s="173"/>
      <c r="AE24" s="7"/>
      <c r="AF24" s="7"/>
      <c r="AG24" s="7"/>
      <c r="AH24" s="7"/>
      <c r="AI24" s="7"/>
      <c r="AJ24" s="5"/>
    </row>
    <row r="25" spans="1:36" x14ac:dyDescent="0.5">
      <c r="A25" s="14"/>
      <c r="B25" s="14"/>
      <c r="C25" s="33"/>
      <c r="D25" s="120" t="s">
        <v>28</v>
      </c>
      <c r="E25" s="19"/>
      <c r="F25" s="19"/>
      <c r="G25" s="7"/>
      <c r="H25" s="175">
        <f>+(E25*50)+F25</f>
        <v>0</v>
      </c>
      <c r="I25" s="7" t="s">
        <v>139</v>
      </c>
      <c r="J25" s="7"/>
      <c r="K25" s="5"/>
      <c r="L25" s="5"/>
      <c r="AD25" s="14"/>
      <c r="AE25" s="7"/>
      <c r="AF25" s="7"/>
      <c r="AG25" s="7"/>
      <c r="AH25" s="7"/>
      <c r="AI25" s="7"/>
      <c r="AJ25" s="5"/>
    </row>
    <row r="26" spans="1:36" ht="23.1" x14ac:dyDescent="0.85">
      <c r="A26" s="14"/>
      <c r="B26" s="14"/>
      <c r="C26" s="33"/>
      <c r="D26" s="7"/>
      <c r="E26" s="7"/>
      <c r="F26" s="7"/>
      <c r="G26" s="8"/>
      <c r="H26" s="7"/>
      <c r="I26" s="7"/>
      <c r="J26" s="7"/>
      <c r="K26" s="5"/>
      <c r="L26" s="5"/>
      <c r="AD26" s="14"/>
      <c r="AE26" s="51" t="s">
        <v>116</v>
      </c>
      <c r="AF26" s="7"/>
      <c r="AG26" s="7"/>
      <c r="AH26" s="7"/>
      <c r="AI26" s="7"/>
      <c r="AJ26" s="5"/>
    </row>
    <row r="27" spans="1:36" ht="20.7" thickBot="1" x14ac:dyDescent="0.8">
      <c r="A27" s="14"/>
      <c r="B27" s="14"/>
      <c r="C27" s="33"/>
      <c r="D27" s="7" t="s">
        <v>119</v>
      </c>
      <c r="E27" s="7"/>
      <c r="F27" s="7"/>
      <c r="G27" s="7"/>
      <c r="H27" s="7"/>
      <c r="I27" s="7"/>
      <c r="J27" s="7"/>
      <c r="K27" s="5"/>
      <c r="L27" s="5"/>
      <c r="R27" s="52"/>
      <c r="AD27" s="14"/>
      <c r="AE27" s="53" t="s">
        <v>56</v>
      </c>
      <c r="AF27" s="7"/>
      <c r="AG27" s="7"/>
      <c r="AH27" s="7"/>
      <c r="AI27" s="7"/>
      <c r="AJ27" s="5"/>
    </row>
    <row r="28" spans="1:36" x14ac:dyDescent="0.5">
      <c r="A28" s="14"/>
      <c r="B28" s="14"/>
      <c r="C28" s="33"/>
      <c r="D28" s="10"/>
      <c r="E28" s="186" t="s">
        <v>26</v>
      </c>
      <c r="F28" s="187"/>
      <c r="G28" s="6"/>
      <c r="H28" s="7"/>
      <c r="I28" s="7"/>
      <c r="J28" s="7"/>
      <c r="K28" s="5"/>
      <c r="L28" s="5"/>
      <c r="AD28" s="14"/>
      <c r="AE28" s="54" t="s">
        <v>87</v>
      </c>
      <c r="AF28" s="55" t="s">
        <v>88</v>
      </c>
      <c r="AG28" s="56" t="s">
        <v>84</v>
      </c>
      <c r="AH28" s="56" t="s">
        <v>85</v>
      </c>
      <c r="AI28" s="56" t="s">
        <v>86</v>
      </c>
      <c r="AJ28" s="5"/>
    </row>
    <row r="29" spans="1:36" x14ac:dyDescent="0.5">
      <c r="A29" s="14"/>
      <c r="B29" s="14"/>
      <c r="C29" s="33"/>
      <c r="D29" s="11"/>
      <c r="E29" s="49" t="s">
        <v>3</v>
      </c>
      <c r="F29" s="57" t="s">
        <v>27</v>
      </c>
      <c r="G29" s="7"/>
      <c r="H29" s="7"/>
      <c r="I29" s="7"/>
      <c r="J29" s="7"/>
      <c r="K29" s="5"/>
      <c r="L29" s="5"/>
      <c r="AD29" s="14"/>
      <c r="AE29" s="58" t="s">
        <v>89</v>
      </c>
      <c r="AF29" s="58">
        <v>5</v>
      </c>
      <c r="AG29" s="138">
        <v>65</v>
      </c>
      <c r="AH29" s="138">
        <f t="shared" ref="AH29:AH34" si="0">+AI29*"1.4"</f>
        <v>45.5</v>
      </c>
      <c r="AI29" s="138">
        <v>32.5</v>
      </c>
      <c r="AJ29" s="5"/>
    </row>
    <row r="30" spans="1:36" x14ac:dyDescent="0.5">
      <c r="A30" s="14"/>
      <c r="B30" s="14"/>
      <c r="C30" s="33"/>
      <c r="D30" s="11" t="s">
        <v>5</v>
      </c>
      <c r="E30" s="19"/>
      <c r="F30" s="24"/>
      <c r="G30" s="7"/>
      <c r="H30" s="18">
        <f>+(E30*23.02)+F30</f>
        <v>0</v>
      </c>
      <c r="I30" s="7" t="s">
        <v>74</v>
      </c>
      <c r="J30" s="7"/>
      <c r="K30" s="5"/>
      <c r="L30" s="5"/>
      <c r="AD30" s="14"/>
      <c r="AE30" s="58" t="s">
        <v>89</v>
      </c>
      <c r="AF30" s="58">
        <v>55</v>
      </c>
      <c r="AG30" s="138">
        <v>55</v>
      </c>
      <c r="AH30" s="138">
        <f t="shared" si="0"/>
        <v>38.5</v>
      </c>
      <c r="AI30" s="138">
        <v>27.5</v>
      </c>
      <c r="AJ30" s="5"/>
    </row>
    <row r="31" spans="1:36" x14ac:dyDescent="0.5">
      <c r="A31" s="14"/>
      <c r="B31" s="14"/>
      <c r="C31" s="33"/>
      <c r="D31" s="11" t="s">
        <v>6</v>
      </c>
      <c r="E31" s="19"/>
      <c r="F31" s="24"/>
      <c r="G31" s="7"/>
      <c r="H31" s="18">
        <f>+(E31*35.51)+F31</f>
        <v>0</v>
      </c>
      <c r="I31" s="7" t="s">
        <v>75</v>
      </c>
      <c r="J31" s="7"/>
      <c r="K31" s="5"/>
      <c r="L31" s="5"/>
      <c r="AD31" s="14"/>
      <c r="AE31" s="58" t="s">
        <v>89</v>
      </c>
      <c r="AF31" s="58">
        <v>265</v>
      </c>
      <c r="AG31" s="138">
        <v>40</v>
      </c>
      <c r="AH31" s="138">
        <f t="shared" si="0"/>
        <v>28</v>
      </c>
      <c r="AI31" s="138">
        <v>20</v>
      </c>
      <c r="AJ31" s="5"/>
    </row>
    <row r="32" spans="1:36" x14ac:dyDescent="0.5">
      <c r="A32" s="14"/>
      <c r="B32" s="14"/>
      <c r="C32" s="33"/>
      <c r="D32" s="11" t="s">
        <v>153</v>
      </c>
      <c r="E32" s="184"/>
      <c r="F32" s="185"/>
      <c r="G32" s="7"/>
      <c r="H32" s="18">
        <f>+(E32*14)+F32</f>
        <v>0</v>
      </c>
      <c r="I32" s="7" t="s">
        <v>154</v>
      </c>
      <c r="J32" s="7"/>
      <c r="K32" s="5"/>
      <c r="L32" s="5"/>
      <c r="AD32" s="14"/>
      <c r="AE32" s="58"/>
      <c r="AF32" s="58"/>
      <c r="AG32" s="138"/>
      <c r="AH32" s="138"/>
      <c r="AI32" s="138"/>
      <c r="AJ32" s="5"/>
    </row>
    <row r="33" spans="1:36" ht="13.2" thickBot="1" x14ac:dyDescent="0.55000000000000004">
      <c r="A33" s="14"/>
      <c r="B33" s="14"/>
      <c r="C33" s="33"/>
      <c r="D33" s="9" t="s">
        <v>59</v>
      </c>
      <c r="E33" s="26"/>
      <c r="F33" s="25"/>
      <c r="G33" s="7"/>
      <c r="H33" s="18">
        <f>+(E33*48.03)+F33</f>
        <v>0</v>
      </c>
      <c r="I33" s="7" t="s">
        <v>76</v>
      </c>
      <c r="J33" s="7"/>
      <c r="K33" s="5"/>
      <c r="L33" s="5"/>
      <c r="R33" s="52"/>
      <c r="AD33" s="14"/>
      <c r="AE33" s="58" t="s">
        <v>90</v>
      </c>
      <c r="AF33" s="58">
        <v>5</v>
      </c>
      <c r="AG33" s="138">
        <v>75</v>
      </c>
      <c r="AH33" s="138">
        <f t="shared" si="0"/>
        <v>52.5</v>
      </c>
      <c r="AI33" s="138">
        <v>37.5</v>
      </c>
      <c r="AJ33" s="5"/>
    </row>
    <row r="34" spans="1:36" ht="13.2" thickBot="1" x14ac:dyDescent="0.55000000000000004">
      <c r="A34" s="14"/>
      <c r="B34" s="14"/>
      <c r="C34" s="33"/>
      <c r="D34" s="7"/>
      <c r="E34" s="7"/>
      <c r="F34" s="7"/>
      <c r="G34" s="7"/>
      <c r="H34" s="7"/>
      <c r="I34" s="7"/>
      <c r="J34" s="7"/>
      <c r="K34" s="5"/>
      <c r="L34" s="5"/>
      <c r="R34" s="52"/>
      <c r="AD34" s="14"/>
      <c r="AE34" s="58" t="s">
        <v>90</v>
      </c>
      <c r="AF34" s="58">
        <v>53</v>
      </c>
      <c r="AG34" s="138">
        <v>65</v>
      </c>
      <c r="AH34" s="138">
        <f t="shared" si="0"/>
        <v>45.5</v>
      </c>
      <c r="AI34" s="138">
        <v>32.5</v>
      </c>
      <c r="AJ34" s="5"/>
    </row>
    <row r="35" spans="1:36" x14ac:dyDescent="0.5">
      <c r="A35" s="14"/>
      <c r="B35" s="14"/>
      <c r="C35" s="33"/>
      <c r="D35" s="197" t="s">
        <v>29</v>
      </c>
      <c r="E35" s="198"/>
      <c r="F35" s="59"/>
      <c r="G35" s="59"/>
      <c r="H35" s="60"/>
      <c r="I35" s="7"/>
      <c r="J35" s="7"/>
      <c r="K35" s="5"/>
      <c r="L35" s="5"/>
      <c r="R35" s="52"/>
      <c r="AD35" s="14"/>
      <c r="AE35" s="7"/>
      <c r="AF35" s="7"/>
      <c r="AG35" s="7"/>
      <c r="AH35" s="7"/>
      <c r="AI35" s="7"/>
      <c r="AJ35" s="5"/>
    </row>
    <row r="36" spans="1:36" x14ac:dyDescent="0.5">
      <c r="A36" s="14"/>
      <c r="B36" s="14"/>
      <c r="C36" s="33"/>
      <c r="D36" s="11" t="s">
        <v>141</v>
      </c>
      <c r="E36" s="7"/>
      <c r="F36" s="61">
        <f>+((((E20*20.4)*2.5))+(F20*2.5)+((E21*12.22)*4.1)+(F21*4.1)+(F23)+(E25*50)+(F25))/200</f>
        <v>0</v>
      </c>
      <c r="G36" s="7" t="s">
        <v>121</v>
      </c>
      <c r="H36" s="62"/>
      <c r="I36" s="7"/>
      <c r="J36" s="7"/>
      <c r="K36" s="5"/>
      <c r="L36" s="5"/>
      <c r="AD36" s="14"/>
      <c r="AE36" s="7"/>
      <c r="AF36" s="7"/>
      <c r="AG36" s="7"/>
      <c r="AH36" s="7"/>
      <c r="AI36" s="7"/>
      <c r="AJ36" s="5"/>
    </row>
    <row r="37" spans="1:36" x14ac:dyDescent="0.5">
      <c r="A37" s="14"/>
      <c r="B37" s="14"/>
      <c r="C37" s="33"/>
      <c r="D37" s="11"/>
      <c r="E37" s="7"/>
      <c r="F37" s="1">
        <f>+F36/3.068</f>
        <v>0</v>
      </c>
      <c r="G37" s="7" t="s">
        <v>32</v>
      </c>
      <c r="H37" s="62"/>
      <c r="I37" s="7"/>
      <c r="J37" s="7"/>
      <c r="K37" s="5"/>
      <c r="L37" s="5"/>
      <c r="AD37" s="14"/>
      <c r="AE37" s="7"/>
      <c r="AF37" s="7"/>
      <c r="AG37" s="7"/>
      <c r="AH37" s="7"/>
      <c r="AI37" s="7"/>
      <c r="AJ37" s="5"/>
    </row>
    <row r="38" spans="1:36" ht="13.2" thickBot="1" x14ac:dyDescent="0.55000000000000004">
      <c r="A38" s="14"/>
      <c r="B38" s="14"/>
      <c r="C38" s="33"/>
      <c r="D38" s="9"/>
      <c r="E38" s="63"/>
      <c r="F38" s="64"/>
      <c r="G38" s="63"/>
      <c r="H38" s="65"/>
      <c r="I38" s="7"/>
      <c r="J38" s="7"/>
      <c r="K38" s="5"/>
      <c r="L38" s="5"/>
      <c r="AD38" s="14"/>
      <c r="AE38" s="66"/>
      <c r="AF38" s="67"/>
      <c r="AG38" s="7"/>
      <c r="AH38" s="68"/>
      <c r="AI38" s="68"/>
      <c r="AJ38" s="5"/>
    </row>
    <row r="39" spans="1:36" hidden="1" x14ac:dyDescent="0.5">
      <c r="A39" s="14"/>
      <c r="B39" s="14"/>
      <c r="C39" s="33"/>
      <c r="D39" s="11"/>
      <c r="E39" s="7"/>
      <c r="F39" s="69">
        <f>128*29</f>
        <v>3712</v>
      </c>
      <c r="G39" s="7" t="s">
        <v>33</v>
      </c>
      <c r="H39" s="62"/>
      <c r="I39" s="7"/>
      <c r="J39" s="7"/>
      <c r="K39" s="5"/>
      <c r="L39" s="5"/>
      <c r="AD39" s="14"/>
      <c r="AE39" s="7"/>
      <c r="AF39" s="7"/>
      <c r="AG39" s="7"/>
      <c r="AH39" s="7"/>
      <c r="AI39" s="7"/>
      <c r="AJ39" s="5"/>
    </row>
    <row r="40" spans="1:36" hidden="1" x14ac:dyDescent="0.5">
      <c r="A40" s="14"/>
      <c r="B40" s="14"/>
      <c r="C40" s="33"/>
      <c r="D40" s="11"/>
      <c r="E40" s="7"/>
      <c r="F40" s="18">
        <f>+F39*F37</f>
        <v>0</v>
      </c>
      <c r="G40" s="7" t="s">
        <v>34</v>
      </c>
      <c r="H40" s="62"/>
      <c r="I40" s="7"/>
      <c r="J40" s="7"/>
      <c r="K40" s="5"/>
      <c r="L40" s="5"/>
      <c r="AD40" s="14"/>
      <c r="AE40" s="7"/>
      <c r="AF40" s="7"/>
      <c r="AG40" s="7"/>
      <c r="AH40" s="7"/>
      <c r="AI40" s="7"/>
      <c r="AJ40" s="5"/>
    </row>
    <row r="41" spans="1:36" ht="13.2" hidden="1" thickBot="1" x14ac:dyDescent="0.55000000000000004">
      <c r="A41" s="14"/>
      <c r="B41" s="14"/>
      <c r="C41" s="33"/>
      <c r="D41" s="9"/>
      <c r="E41" s="63"/>
      <c r="F41" s="70">
        <f>+F40/30</f>
        <v>0</v>
      </c>
      <c r="G41" s="63" t="s">
        <v>35</v>
      </c>
      <c r="H41" s="65"/>
      <c r="I41" s="7"/>
      <c r="J41" s="7"/>
      <c r="K41" s="5"/>
      <c r="L41" s="5"/>
      <c r="AD41" s="14"/>
      <c r="AE41" s="7"/>
      <c r="AF41" s="7"/>
      <c r="AG41" s="7"/>
      <c r="AH41" s="7"/>
      <c r="AI41" s="7"/>
      <c r="AJ41" s="5"/>
    </row>
    <row r="42" spans="1:36" ht="20.399999999999999" x14ac:dyDescent="0.75">
      <c r="A42" s="14"/>
      <c r="B42" s="14"/>
      <c r="C42" s="33"/>
      <c r="D42" s="7"/>
      <c r="E42" s="7"/>
      <c r="F42" s="8"/>
      <c r="G42" s="7"/>
      <c r="H42" s="7"/>
      <c r="I42" s="7"/>
      <c r="J42" s="7"/>
      <c r="K42" s="5"/>
      <c r="L42" s="5"/>
      <c r="AD42" s="14"/>
      <c r="AE42" s="53" t="s">
        <v>115</v>
      </c>
      <c r="AF42" s="7"/>
      <c r="AG42" s="7"/>
      <c r="AH42" s="7"/>
      <c r="AI42" s="7"/>
      <c r="AJ42" s="5"/>
    </row>
    <row r="43" spans="1:36" x14ac:dyDescent="0.5">
      <c r="A43" s="14"/>
      <c r="B43" s="14"/>
      <c r="C43" s="31" t="s">
        <v>36</v>
      </c>
      <c r="D43" s="7" t="s">
        <v>37</v>
      </c>
      <c r="E43" s="7"/>
      <c r="F43" s="181" t="s">
        <v>150</v>
      </c>
      <c r="H43" s="7"/>
      <c r="I43" s="7"/>
      <c r="J43" s="7"/>
      <c r="K43" s="5"/>
      <c r="L43" s="5"/>
      <c r="AD43" s="14"/>
      <c r="AE43" s="54" t="s">
        <v>87</v>
      </c>
      <c r="AF43" s="55" t="s">
        <v>88</v>
      </c>
      <c r="AG43" s="56" t="s">
        <v>84</v>
      </c>
      <c r="AH43" s="56" t="s">
        <v>85</v>
      </c>
      <c r="AI43" s="56" t="s">
        <v>86</v>
      </c>
      <c r="AJ43" s="5"/>
    </row>
    <row r="44" spans="1:36" ht="13.2" thickBot="1" x14ac:dyDescent="0.55000000000000004">
      <c r="A44" s="14"/>
      <c r="B44" s="14"/>
      <c r="C44" s="31"/>
      <c r="D44" s="7"/>
      <c r="E44" s="34"/>
      <c r="F44" s="72"/>
      <c r="G44" s="7"/>
      <c r="H44" s="7"/>
      <c r="I44" s="7"/>
      <c r="J44" s="7"/>
      <c r="K44" s="5"/>
      <c r="L44" s="5"/>
      <c r="AD44" s="14"/>
      <c r="AE44" s="58" t="s">
        <v>79</v>
      </c>
      <c r="AF44" s="73">
        <v>55</v>
      </c>
      <c r="AG44" s="137">
        <v>22.72</v>
      </c>
      <c r="AH44" s="137">
        <f t="shared" ref="AH44" si="1">+AI44*1.2</f>
        <v>18.18</v>
      </c>
      <c r="AI44" s="137">
        <v>15.15</v>
      </c>
      <c r="AJ44" s="5"/>
    </row>
    <row r="45" spans="1:36" x14ac:dyDescent="0.5">
      <c r="A45" s="14"/>
      <c r="B45" s="14"/>
      <c r="C45" s="33"/>
      <c r="D45" s="74" t="s">
        <v>142</v>
      </c>
      <c r="E45" s="199" t="s">
        <v>147</v>
      </c>
      <c r="F45" s="27"/>
      <c r="G45" s="7" t="s">
        <v>146</v>
      </c>
      <c r="H45" s="7"/>
      <c r="J45" s="7"/>
      <c r="K45" s="5"/>
      <c r="L45" s="5"/>
      <c r="O45" s="76">
        <v>1</v>
      </c>
      <c r="P45" s="77"/>
      <c r="Q45" s="77"/>
      <c r="R45" s="77">
        <v>2</v>
      </c>
      <c r="S45" s="77"/>
      <c r="T45" s="78">
        <v>3</v>
      </c>
      <c r="U45" s="79"/>
      <c r="V45" s="79"/>
      <c r="W45" s="80">
        <v>3</v>
      </c>
      <c r="X45" s="79"/>
      <c r="Y45" s="79"/>
      <c r="Z45" s="79"/>
      <c r="AA45" s="79"/>
      <c r="AB45" s="79"/>
      <c r="AD45" s="14"/>
      <c r="AE45" s="58" t="s">
        <v>79</v>
      </c>
      <c r="AF45" s="73">
        <v>265</v>
      </c>
      <c r="AG45" s="137">
        <v>20.91</v>
      </c>
      <c r="AH45" s="137">
        <f>+AI45*1.2</f>
        <v>17.099999999999998</v>
      </c>
      <c r="AI45" s="137">
        <v>14.25</v>
      </c>
      <c r="AJ45" s="5"/>
    </row>
    <row r="46" spans="1:36" x14ac:dyDescent="0.5">
      <c r="A46" s="14"/>
      <c r="B46" s="14"/>
      <c r="C46" s="33"/>
      <c r="D46" s="7"/>
      <c r="E46" s="200"/>
      <c r="F46" s="27"/>
      <c r="G46" s="7" t="s">
        <v>143</v>
      </c>
      <c r="H46" s="7"/>
      <c r="J46" s="7"/>
      <c r="K46" s="5"/>
      <c r="L46" s="5"/>
      <c r="O46" s="176"/>
      <c r="P46" s="177"/>
      <c r="Q46" s="177"/>
      <c r="R46" s="177"/>
      <c r="S46" s="178"/>
      <c r="T46" s="179"/>
      <c r="U46" s="79"/>
      <c r="V46" s="79"/>
      <c r="W46" s="180"/>
      <c r="X46" s="79"/>
      <c r="Y46" s="79"/>
      <c r="Z46" s="79"/>
      <c r="AA46" s="79"/>
      <c r="AB46" s="79"/>
      <c r="AD46" s="14"/>
      <c r="AE46" s="58" t="s">
        <v>80</v>
      </c>
      <c r="AF46" s="73">
        <v>5400</v>
      </c>
      <c r="AG46" s="137">
        <v>20.36</v>
      </c>
      <c r="AH46" s="137">
        <f>+AI46*1.2</f>
        <v>14.808</v>
      </c>
      <c r="AI46" s="137">
        <v>12.34</v>
      </c>
      <c r="AJ46" s="5"/>
    </row>
    <row r="47" spans="1:36" x14ac:dyDescent="0.5">
      <c r="A47" s="14"/>
      <c r="B47" s="14"/>
      <c r="C47" s="33"/>
      <c r="D47" s="7"/>
      <c r="E47" s="201"/>
      <c r="F47" s="27"/>
      <c r="G47" s="7" t="s">
        <v>144</v>
      </c>
      <c r="H47" s="7"/>
      <c r="I47" s="75"/>
      <c r="J47" s="7"/>
      <c r="K47" s="5"/>
      <c r="L47" s="5"/>
      <c r="O47" s="176"/>
      <c r="P47" s="177"/>
      <c r="Q47" s="177"/>
      <c r="R47" s="177"/>
      <c r="S47" s="178"/>
      <c r="T47" s="179"/>
      <c r="U47" s="79"/>
      <c r="V47" s="79"/>
      <c r="W47" s="180"/>
      <c r="X47" s="79"/>
      <c r="Y47" s="79"/>
      <c r="Z47" s="79"/>
      <c r="AA47" s="79"/>
      <c r="AB47" s="79"/>
      <c r="AD47" s="14"/>
      <c r="AE47" s="58" t="s">
        <v>81</v>
      </c>
      <c r="AF47" s="73">
        <v>1</v>
      </c>
      <c r="AG47" s="137">
        <v>175</v>
      </c>
      <c r="AH47" s="137">
        <v>175</v>
      </c>
      <c r="AI47" s="137">
        <v>175</v>
      </c>
      <c r="AJ47" s="5"/>
    </row>
    <row r="48" spans="1:36" ht="12.55" customHeight="1" thickBot="1" x14ac:dyDescent="0.55000000000000004">
      <c r="A48" s="14"/>
      <c r="B48" s="14"/>
      <c r="C48" s="33"/>
      <c r="D48" s="7"/>
      <c r="E48" s="74" t="s">
        <v>7</v>
      </c>
      <c r="F48" s="28"/>
      <c r="G48" s="7" t="s">
        <v>148</v>
      </c>
      <c r="H48" s="7"/>
      <c r="I48" s="7"/>
      <c r="J48" s="7"/>
      <c r="K48" s="5"/>
      <c r="L48" s="5"/>
      <c r="O48" s="81" t="s">
        <v>60</v>
      </c>
      <c r="P48" s="82"/>
      <c r="Q48" s="82"/>
      <c r="R48" s="83" t="s">
        <v>61</v>
      </c>
      <c r="S48" s="84"/>
      <c r="T48" s="85" t="s">
        <v>62</v>
      </c>
      <c r="U48" s="194" t="s">
        <v>63</v>
      </c>
      <c r="V48" s="84"/>
      <c r="W48" s="86" t="s">
        <v>64</v>
      </c>
      <c r="X48" s="196"/>
      <c r="Y48" s="196"/>
      <c r="Z48" s="87"/>
      <c r="AA48" s="87"/>
      <c r="AB48" s="79"/>
      <c r="AD48" s="14"/>
      <c r="AE48" s="58" t="s">
        <v>82</v>
      </c>
      <c r="AF48" s="73">
        <v>53</v>
      </c>
      <c r="AG48" s="137">
        <v>27.01</v>
      </c>
      <c r="AH48" s="137">
        <f>+AI48*1.2</f>
        <v>23.052</v>
      </c>
      <c r="AI48" s="137">
        <v>19.21</v>
      </c>
      <c r="AJ48" s="5"/>
    </row>
    <row r="49" spans="1:36" ht="13.2" thickBot="1" x14ac:dyDescent="0.55000000000000004">
      <c r="A49" s="14"/>
      <c r="B49" s="14"/>
      <c r="C49" s="33"/>
      <c r="D49" s="7"/>
      <c r="E49" s="182"/>
      <c r="F49" s="1">
        <f>+(F47*F36)+((((F45*325851)/1000000)*F36)*F48)+(((F46*325851)/1000000)*F36)</f>
        <v>0</v>
      </c>
      <c r="G49" s="7" t="s">
        <v>145</v>
      </c>
      <c r="H49" s="7"/>
      <c r="I49" s="7"/>
      <c r="J49" s="7"/>
      <c r="K49" s="5"/>
      <c r="L49" s="5"/>
      <c r="O49" s="89" t="s">
        <v>9</v>
      </c>
      <c r="P49" s="90"/>
      <c r="Q49" s="90"/>
      <c r="R49" s="90" t="s">
        <v>14</v>
      </c>
      <c r="S49" s="84"/>
      <c r="T49" s="91"/>
      <c r="U49" s="195"/>
      <c r="V49" s="92" t="s">
        <v>14</v>
      </c>
      <c r="W49" s="93" t="s">
        <v>16</v>
      </c>
      <c r="X49" s="94" t="s">
        <v>17</v>
      </c>
      <c r="Y49" s="95" t="s">
        <v>11</v>
      </c>
      <c r="Z49" s="95" t="s">
        <v>12</v>
      </c>
      <c r="AA49" s="96" t="s">
        <v>13</v>
      </c>
      <c r="AB49" s="79"/>
      <c r="AD49" s="14"/>
      <c r="AE49" s="58" t="s">
        <v>83</v>
      </c>
      <c r="AF49" s="73">
        <v>277.5</v>
      </c>
      <c r="AG49" s="137">
        <v>28.36</v>
      </c>
      <c r="AH49" s="137">
        <f>+(4457.2+(441.85*5))/275</f>
        <v>24.241636363636363</v>
      </c>
      <c r="AI49" s="137">
        <f>+(3565.76+(353.5*5))/275</f>
        <v>19.39367272727273</v>
      </c>
      <c r="AJ49" s="5"/>
    </row>
    <row r="50" spans="1:36" ht="15.9" thickBot="1" x14ac:dyDescent="0.55000000000000004">
      <c r="A50" s="14"/>
      <c r="B50" s="14"/>
      <c r="C50" s="33"/>
      <c r="D50" s="7"/>
      <c r="E50" s="74" t="s">
        <v>41</v>
      </c>
      <c r="F50" s="20"/>
      <c r="G50" s="7"/>
      <c r="H50" s="7"/>
      <c r="I50" s="7"/>
      <c r="J50" s="7"/>
      <c r="K50" s="5"/>
      <c r="L50" s="5"/>
      <c r="O50" s="97">
        <f>+F36</f>
        <v>0</v>
      </c>
      <c r="P50" s="98">
        <v>1000000</v>
      </c>
      <c r="Q50" s="98">
        <f>+O50/P50</f>
        <v>0</v>
      </c>
      <c r="R50" s="99">
        <f>+F55</f>
        <v>0</v>
      </c>
      <c r="S50" s="100">
        <f>+Q50*R50</f>
        <v>0</v>
      </c>
      <c r="T50" s="101">
        <v>1</v>
      </c>
      <c r="U50" s="102">
        <f>+(AA50*T50)/128</f>
        <v>0</v>
      </c>
      <c r="V50" s="103">
        <f>+(U50/T50)/60</f>
        <v>0</v>
      </c>
      <c r="W50" s="104">
        <f>+V50*60</f>
        <v>0</v>
      </c>
      <c r="X50" s="105">
        <f>+W50*3.785412</f>
        <v>0</v>
      </c>
      <c r="Y50" s="106">
        <f>+(S50*128)*29</f>
        <v>0</v>
      </c>
      <c r="Z50" s="106">
        <f>+Y50/29</f>
        <v>0</v>
      </c>
      <c r="AA50" s="107">
        <f>+Z50*60</f>
        <v>0</v>
      </c>
      <c r="AB50" s="79"/>
      <c r="AD50" s="14"/>
      <c r="AE50" s="58" t="s">
        <v>83</v>
      </c>
      <c r="AF50" s="73">
        <v>305</v>
      </c>
      <c r="AG50" s="137">
        <v>28.36</v>
      </c>
      <c r="AH50" s="137">
        <f>+(4457.2+(441.85*5))/275</f>
        <v>24.241636363636363</v>
      </c>
      <c r="AI50" s="137">
        <f>+(3565.76+(353.5*5))/275</f>
        <v>19.39367272727273</v>
      </c>
      <c r="AJ50" s="5"/>
    </row>
    <row r="51" spans="1:36" x14ac:dyDescent="0.5">
      <c r="A51" s="14"/>
      <c r="B51" s="14"/>
      <c r="C51" s="33"/>
      <c r="D51" s="7"/>
      <c r="E51" s="183"/>
      <c r="F51" s="109">
        <f>+F49*F50</f>
        <v>0</v>
      </c>
      <c r="G51" s="7" t="s">
        <v>8</v>
      </c>
      <c r="H51" s="7"/>
      <c r="I51" s="75"/>
      <c r="J51" s="7"/>
      <c r="K51" s="5"/>
      <c r="L51" s="5"/>
      <c r="O51" s="87"/>
      <c r="P51" s="87"/>
      <c r="Q51" s="87"/>
      <c r="R51" s="87"/>
      <c r="S51" s="87"/>
      <c r="T51" s="87"/>
      <c r="U51" s="87"/>
      <c r="V51" s="79"/>
      <c r="W51" s="79"/>
      <c r="X51" s="79"/>
      <c r="Y51" s="87"/>
      <c r="Z51" s="87"/>
      <c r="AA51" s="87"/>
      <c r="AB51" s="79"/>
      <c r="AD51" s="14"/>
      <c r="AJ51" s="5"/>
    </row>
    <row r="52" spans="1:36" x14ac:dyDescent="0.5">
      <c r="A52" s="14"/>
      <c r="B52" s="14"/>
      <c r="C52" s="33"/>
      <c r="D52" s="7"/>
      <c r="E52" s="74" t="s">
        <v>42</v>
      </c>
      <c r="F52" s="111" t="e">
        <f>+F51/F48</f>
        <v>#DIV/0!</v>
      </c>
      <c r="G52" s="4" t="s">
        <v>149</v>
      </c>
      <c r="H52" s="7"/>
      <c r="I52" s="75"/>
      <c r="J52" s="7"/>
      <c r="K52" s="5"/>
      <c r="L52" s="5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D52" s="14"/>
      <c r="AJ52" s="5"/>
    </row>
    <row r="53" spans="1:36" x14ac:dyDescent="0.5">
      <c r="A53" s="14"/>
      <c r="B53" s="14"/>
      <c r="C53" s="33"/>
      <c r="D53" s="7"/>
      <c r="E53" s="110"/>
      <c r="F53" s="110"/>
      <c r="G53" s="7"/>
      <c r="H53" s="7"/>
      <c r="I53" s="7"/>
      <c r="J53" s="7"/>
      <c r="K53" s="5"/>
      <c r="L53" s="5"/>
      <c r="O53" s="112" t="s">
        <v>65</v>
      </c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D53" s="14"/>
      <c r="AE53" s="7"/>
      <c r="AF53" s="7"/>
      <c r="AG53" s="7"/>
      <c r="AH53" s="7"/>
      <c r="AI53" s="7"/>
      <c r="AJ53" s="5"/>
    </row>
    <row r="54" spans="1:36" ht="13.2" thickBot="1" x14ac:dyDescent="0.55000000000000004">
      <c r="A54" s="14"/>
      <c r="B54" s="14"/>
      <c r="C54" s="31" t="s">
        <v>43</v>
      </c>
      <c r="D54" s="7" t="s">
        <v>44</v>
      </c>
      <c r="E54" s="7"/>
      <c r="F54" s="7"/>
      <c r="G54" s="7"/>
      <c r="H54" s="7"/>
      <c r="I54" s="7"/>
      <c r="J54" s="7"/>
      <c r="K54" s="5"/>
      <c r="L54" s="5"/>
      <c r="O54" s="79"/>
      <c r="P54" s="79"/>
      <c r="Q54" s="79"/>
      <c r="R54" s="79"/>
      <c r="S54" s="79"/>
      <c r="T54" s="79"/>
      <c r="U54" s="79"/>
      <c r="V54" s="79"/>
      <c r="W54" s="113"/>
      <c r="X54" s="79"/>
      <c r="Y54" s="79"/>
      <c r="Z54" s="79"/>
      <c r="AA54" s="79"/>
      <c r="AB54" s="79"/>
      <c r="AD54" s="14"/>
      <c r="AE54" s="7"/>
      <c r="AF54" s="7"/>
      <c r="AG54" s="7"/>
      <c r="AH54" s="7"/>
      <c r="AI54" s="7"/>
      <c r="AJ54" s="5"/>
    </row>
    <row r="55" spans="1:36" ht="17.5" customHeight="1" thickBot="1" x14ac:dyDescent="0.55000000000000004">
      <c r="A55" s="14"/>
      <c r="B55" s="14"/>
      <c r="C55" s="33"/>
      <c r="D55" s="7"/>
      <c r="E55" s="74" t="s">
        <v>45</v>
      </c>
      <c r="F55" s="19"/>
      <c r="G55" s="7"/>
      <c r="H55" s="7"/>
      <c r="I55" s="7"/>
      <c r="J55" s="7"/>
      <c r="K55" s="5"/>
      <c r="L55" s="5"/>
      <c r="O55" s="114" t="s">
        <v>66</v>
      </c>
      <c r="P55" s="115"/>
      <c r="Q55" s="116"/>
      <c r="R55" s="117" t="s">
        <v>67</v>
      </c>
      <c r="S55" s="118"/>
      <c r="T55" s="79"/>
      <c r="U55" s="79"/>
      <c r="V55" s="79"/>
      <c r="W55" s="119"/>
      <c r="X55" s="79"/>
      <c r="Y55" s="79"/>
      <c r="Z55" s="79"/>
      <c r="AA55" s="79"/>
      <c r="AB55" s="79"/>
      <c r="AD55" s="120"/>
      <c r="AE55" s="36"/>
      <c r="AF55" s="36"/>
      <c r="AG55" s="36"/>
      <c r="AH55" s="36"/>
      <c r="AI55" s="36"/>
      <c r="AJ55" s="121"/>
    </row>
    <row r="56" spans="1:36" ht="15.9" thickBot="1" x14ac:dyDescent="0.55000000000000004">
      <c r="A56" s="14"/>
      <c r="B56" s="14"/>
      <c r="C56" s="33"/>
      <c r="D56" s="7"/>
      <c r="E56" s="74"/>
      <c r="F56" s="18" t="e">
        <f>333333/F55</f>
        <v>#DIV/0!</v>
      </c>
      <c r="G56" s="7" t="s">
        <v>46</v>
      </c>
      <c r="H56" s="7"/>
      <c r="I56" s="7"/>
      <c r="J56" s="7"/>
      <c r="K56" s="5"/>
      <c r="L56" s="5"/>
      <c r="O56" s="122">
        <f>+F60</f>
        <v>0</v>
      </c>
      <c r="P56" s="123"/>
      <c r="Q56" s="124"/>
      <c r="R56" s="17" t="e">
        <f>+W50/O56</f>
        <v>#DIV/0!</v>
      </c>
      <c r="S56" s="118"/>
      <c r="T56" s="125" t="s">
        <v>68</v>
      </c>
      <c r="U56" s="79"/>
      <c r="V56" s="79" t="s">
        <v>69</v>
      </c>
      <c r="W56" s="79"/>
      <c r="X56" s="79"/>
      <c r="Y56" s="79"/>
      <c r="Z56" s="79"/>
      <c r="AA56" s="79"/>
      <c r="AB56" s="79"/>
      <c r="AD56" s="7"/>
    </row>
    <row r="57" spans="1:36" x14ac:dyDescent="0.5">
      <c r="A57" s="14"/>
      <c r="B57" s="14"/>
      <c r="C57" s="33"/>
      <c r="D57" s="7"/>
      <c r="E57" s="74"/>
      <c r="F57" s="18" t="e">
        <f>+F40/F56</f>
        <v>#DIV/0!</v>
      </c>
      <c r="G57" s="7" t="s">
        <v>47</v>
      </c>
      <c r="H57" s="7"/>
      <c r="I57" s="7"/>
      <c r="J57" s="7"/>
      <c r="K57" s="5"/>
      <c r="L57" s="5"/>
      <c r="O57" s="35"/>
      <c r="AD57" s="7"/>
    </row>
    <row r="58" spans="1:36" x14ac:dyDescent="0.5">
      <c r="A58" s="14"/>
      <c r="B58" s="14"/>
      <c r="C58" s="33"/>
      <c r="D58" s="7"/>
      <c r="E58" s="74"/>
      <c r="F58" s="1" t="e">
        <f>+F57/30</f>
        <v>#DIV/0!</v>
      </c>
      <c r="G58" s="7" t="s">
        <v>48</v>
      </c>
      <c r="H58" s="7"/>
      <c r="I58" s="7"/>
      <c r="J58" s="7"/>
      <c r="K58" s="5"/>
      <c r="L58" s="5"/>
    </row>
    <row r="59" spans="1:36" x14ac:dyDescent="0.5">
      <c r="A59" s="14"/>
      <c r="B59" s="14"/>
      <c r="C59" s="33"/>
      <c r="D59" s="7"/>
      <c r="E59" s="74"/>
      <c r="F59" s="1">
        <f>+W50</f>
        <v>0</v>
      </c>
      <c r="G59" s="7" t="s">
        <v>70</v>
      </c>
      <c r="H59" s="7"/>
      <c r="I59" s="7"/>
      <c r="J59" s="7"/>
      <c r="K59" s="5"/>
      <c r="L59" s="5"/>
    </row>
    <row r="60" spans="1:36" x14ac:dyDescent="0.5">
      <c r="A60" s="14"/>
      <c r="B60" s="14"/>
      <c r="C60" s="33"/>
      <c r="D60" s="7"/>
      <c r="E60" s="74" t="s">
        <v>71</v>
      </c>
      <c r="F60" s="19"/>
      <c r="G60" s="7"/>
      <c r="H60" s="7"/>
      <c r="I60" s="7"/>
      <c r="J60" s="7"/>
      <c r="K60" s="5"/>
      <c r="L60" s="5"/>
    </row>
    <row r="61" spans="1:36" x14ac:dyDescent="0.5">
      <c r="A61" s="14"/>
      <c r="B61" s="14"/>
      <c r="C61" s="33"/>
      <c r="D61" s="7"/>
      <c r="E61" s="7"/>
      <c r="F61" s="30" t="e">
        <f>+R56</f>
        <v>#DIV/0!</v>
      </c>
      <c r="G61" s="7" t="s">
        <v>72</v>
      </c>
      <c r="H61" s="7"/>
      <c r="I61" s="7"/>
      <c r="J61" s="7"/>
      <c r="K61" s="5"/>
      <c r="L61" s="5"/>
    </row>
    <row r="62" spans="1:36" x14ac:dyDescent="0.5">
      <c r="A62" s="14"/>
      <c r="B62" s="120"/>
      <c r="C62" s="126"/>
      <c r="D62" s="36"/>
      <c r="E62" s="36"/>
      <c r="F62" s="127"/>
      <c r="G62" s="36"/>
      <c r="H62" s="36"/>
      <c r="I62" s="36"/>
      <c r="J62" s="36"/>
      <c r="K62" s="121"/>
      <c r="L62" s="5"/>
    </row>
    <row r="63" spans="1:36" x14ac:dyDescent="0.5">
      <c r="A63" s="120"/>
      <c r="B63" s="36"/>
      <c r="C63" s="126"/>
      <c r="D63" s="36"/>
      <c r="E63" s="36"/>
      <c r="F63" s="127"/>
      <c r="G63" s="36"/>
      <c r="H63" s="36"/>
      <c r="I63" s="36"/>
      <c r="J63" s="36"/>
      <c r="K63" s="36"/>
      <c r="L63" s="121"/>
    </row>
    <row r="64" spans="1:36" x14ac:dyDescent="0.5">
      <c r="A64" s="12"/>
      <c r="B64" s="2"/>
      <c r="C64" s="13"/>
      <c r="D64" s="2"/>
      <c r="E64" s="2"/>
      <c r="F64" s="128"/>
      <c r="G64" s="2"/>
      <c r="H64" s="2"/>
      <c r="I64" s="2"/>
      <c r="J64" s="2"/>
      <c r="K64" s="2"/>
      <c r="L64" s="3"/>
    </row>
    <row r="65" spans="1:27" x14ac:dyDescent="0.5">
      <c r="A65" s="14"/>
      <c r="B65" s="12"/>
      <c r="C65" s="13"/>
      <c r="D65" s="2"/>
      <c r="E65" s="2"/>
      <c r="F65" s="2"/>
      <c r="G65" s="2"/>
      <c r="H65" s="2"/>
      <c r="I65" s="2"/>
      <c r="J65" s="2"/>
      <c r="K65" s="3"/>
      <c r="L65" s="5"/>
    </row>
    <row r="66" spans="1:27" x14ac:dyDescent="0.5">
      <c r="A66" s="14"/>
      <c r="B66" s="14"/>
      <c r="C66" s="31" t="s">
        <v>49</v>
      </c>
      <c r="D66" s="32" t="s">
        <v>50</v>
      </c>
      <c r="E66" s="7"/>
      <c r="F66" s="7"/>
      <c r="G66" s="7"/>
      <c r="H66" s="7"/>
      <c r="I66" s="7"/>
      <c r="J66" s="7"/>
      <c r="K66" s="5"/>
      <c r="L66" s="5"/>
    </row>
    <row r="67" spans="1:27" x14ac:dyDescent="0.5">
      <c r="A67" s="14"/>
      <c r="B67" s="14"/>
      <c r="C67" s="33"/>
      <c r="D67" s="7" t="s">
        <v>25</v>
      </c>
      <c r="E67" s="7"/>
      <c r="F67" s="7"/>
      <c r="G67" s="7"/>
      <c r="H67" s="7"/>
      <c r="I67" s="7"/>
      <c r="J67" s="7"/>
      <c r="K67" s="5"/>
      <c r="L67" s="5"/>
    </row>
    <row r="68" spans="1:27" x14ac:dyDescent="0.5">
      <c r="A68" s="14"/>
      <c r="B68" s="14"/>
      <c r="C68" s="33"/>
      <c r="D68" s="7"/>
      <c r="E68" s="7"/>
      <c r="F68" s="7"/>
      <c r="G68" s="7"/>
      <c r="H68" s="7"/>
      <c r="I68" s="7"/>
      <c r="J68" s="7"/>
      <c r="K68" s="5"/>
      <c r="L68" s="5"/>
    </row>
    <row r="69" spans="1:27" ht="25.8" x14ac:dyDescent="0.5">
      <c r="A69" s="14"/>
      <c r="B69" s="14"/>
      <c r="C69" s="33"/>
      <c r="D69" s="129" t="s">
        <v>51</v>
      </c>
      <c r="E69" s="29"/>
      <c r="F69" s="7"/>
      <c r="G69" s="7"/>
      <c r="H69" s="7"/>
      <c r="I69" s="7"/>
      <c r="J69" s="7"/>
      <c r="K69" s="5"/>
      <c r="L69" s="5"/>
    </row>
    <row r="70" spans="1:27" ht="27.55" customHeight="1" thickBot="1" x14ac:dyDescent="0.55000000000000004">
      <c r="A70" s="14"/>
      <c r="B70" s="14"/>
      <c r="C70" s="33"/>
      <c r="D70" s="7"/>
      <c r="E70" s="130" t="s">
        <v>52</v>
      </c>
      <c r="F70" s="7"/>
      <c r="G70" s="7"/>
      <c r="H70" s="7"/>
      <c r="I70" s="7"/>
      <c r="J70" s="7"/>
      <c r="K70" s="5"/>
      <c r="L70" s="5"/>
    </row>
    <row r="71" spans="1:27" x14ac:dyDescent="0.5">
      <c r="A71" s="14"/>
      <c r="B71" s="14"/>
      <c r="C71" s="33"/>
      <c r="D71" s="197" t="s">
        <v>122</v>
      </c>
      <c r="E71" s="198"/>
      <c r="F71" s="59"/>
      <c r="G71" s="59"/>
      <c r="H71" s="60"/>
      <c r="I71" s="7"/>
      <c r="J71" s="7"/>
      <c r="K71" s="5"/>
      <c r="L71" s="5"/>
    </row>
    <row r="72" spans="1:27" x14ac:dyDescent="0.5">
      <c r="A72" s="14"/>
      <c r="B72" s="14"/>
      <c r="C72" s="33"/>
      <c r="D72" s="11" t="s">
        <v>120</v>
      </c>
      <c r="E72" s="7"/>
      <c r="F72" s="88">
        <f>+E69*0.25</f>
        <v>0</v>
      </c>
      <c r="G72" s="7" t="s">
        <v>9</v>
      </c>
      <c r="H72" s="62"/>
      <c r="I72" s="7"/>
      <c r="J72" s="7"/>
      <c r="K72" s="5"/>
      <c r="L72" s="5"/>
    </row>
    <row r="73" spans="1:27" x14ac:dyDescent="0.5">
      <c r="A73" s="14"/>
      <c r="B73" s="14"/>
      <c r="C73" s="33"/>
      <c r="D73" s="11"/>
      <c r="E73" s="7"/>
      <c r="F73" s="1">
        <f>+F72/3</f>
        <v>0</v>
      </c>
      <c r="G73" s="7" t="s">
        <v>32</v>
      </c>
      <c r="H73" s="62"/>
      <c r="I73" s="7"/>
      <c r="J73" s="7"/>
      <c r="K73" s="5"/>
      <c r="L73" s="5"/>
    </row>
    <row r="74" spans="1:27" ht="13.2" thickBot="1" x14ac:dyDescent="0.55000000000000004">
      <c r="A74" s="14"/>
      <c r="B74" s="14"/>
      <c r="C74" s="33"/>
      <c r="D74" s="9"/>
      <c r="E74" s="63"/>
      <c r="F74" s="63"/>
      <c r="G74" s="63"/>
      <c r="H74" s="65"/>
      <c r="I74" s="7"/>
      <c r="J74" s="7"/>
      <c r="K74" s="5"/>
      <c r="L74" s="5"/>
    </row>
    <row r="75" spans="1:27" hidden="1" x14ac:dyDescent="0.5">
      <c r="A75" s="14"/>
      <c r="B75" s="14"/>
      <c r="C75" s="33"/>
      <c r="D75" s="7"/>
      <c r="E75" s="7"/>
      <c r="F75" s="131">
        <f>128*29</f>
        <v>3712</v>
      </c>
      <c r="G75" s="7" t="s">
        <v>33</v>
      </c>
      <c r="H75" s="7"/>
      <c r="I75" s="7"/>
      <c r="J75" s="7"/>
      <c r="K75" s="5"/>
      <c r="L75" s="5"/>
    </row>
    <row r="76" spans="1:27" ht="13.2" hidden="1" thickBot="1" x14ac:dyDescent="0.55000000000000004">
      <c r="A76" s="14"/>
      <c r="B76" s="14"/>
      <c r="C76" s="33"/>
      <c r="D76" s="7"/>
      <c r="E76" s="7"/>
      <c r="F76" s="132">
        <f>+F75*F73</f>
        <v>0</v>
      </c>
      <c r="G76" s="7" t="s">
        <v>53</v>
      </c>
      <c r="H76" s="7"/>
      <c r="I76" s="7"/>
      <c r="J76" s="7"/>
      <c r="K76" s="5"/>
      <c r="L76" s="5"/>
    </row>
    <row r="77" spans="1:27" hidden="1" x14ac:dyDescent="0.5">
      <c r="A77" s="14"/>
      <c r="B77" s="14"/>
      <c r="C77" s="33"/>
      <c r="D77" s="7"/>
      <c r="E77" s="7"/>
      <c r="F77" s="18">
        <f>+F76/30</f>
        <v>0</v>
      </c>
      <c r="G77" s="7" t="s">
        <v>35</v>
      </c>
      <c r="H77" s="7"/>
      <c r="I77" s="7"/>
      <c r="J77" s="7"/>
      <c r="K77" s="5"/>
      <c r="L77" s="5"/>
      <c r="O77" s="76">
        <v>1</v>
      </c>
      <c r="P77" s="77"/>
      <c r="Q77" s="77"/>
      <c r="R77" s="77">
        <v>2</v>
      </c>
      <c r="S77" s="77"/>
      <c r="T77" s="78">
        <v>3</v>
      </c>
      <c r="U77" s="79"/>
      <c r="V77" s="79"/>
      <c r="W77" s="80">
        <v>3</v>
      </c>
      <c r="X77" s="79"/>
      <c r="Y77" s="79"/>
      <c r="Z77" s="79"/>
      <c r="AA77" s="79"/>
    </row>
    <row r="78" spans="1:27" ht="19.3" customHeight="1" thickBot="1" x14ac:dyDescent="0.55000000000000004">
      <c r="A78" s="14"/>
      <c r="B78" s="14"/>
      <c r="C78" s="31" t="s">
        <v>54</v>
      </c>
      <c r="D78" s="7" t="s">
        <v>37</v>
      </c>
      <c r="E78" s="7"/>
      <c r="F78" s="71"/>
      <c r="G78" s="7"/>
      <c r="H78" s="7"/>
      <c r="I78" s="7"/>
      <c r="J78" s="7"/>
      <c r="K78" s="5"/>
      <c r="L78" s="5"/>
      <c r="O78" s="81" t="s">
        <v>60</v>
      </c>
      <c r="P78" s="82"/>
      <c r="Q78" s="82"/>
      <c r="R78" s="83" t="s">
        <v>61</v>
      </c>
      <c r="S78" s="84"/>
      <c r="T78" s="85" t="s">
        <v>62</v>
      </c>
      <c r="U78" s="194" t="s">
        <v>63</v>
      </c>
      <c r="V78" s="84"/>
      <c r="W78" s="86" t="s">
        <v>64</v>
      </c>
      <c r="X78" s="196"/>
      <c r="Y78" s="196"/>
      <c r="Z78" s="87"/>
      <c r="AA78" s="87"/>
    </row>
    <row r="79" spans="1:27" ht="13.2" thickBot="1" x14ac:dyDescent="0.55000000000000004">
      <c r="A79" s="14"/>
      <c r="B79" s="14"/>
      <c r="C79" s="31"/>
      <c r="D79" s="7"/>
      <c r="E79" s="34"/>
      <c r="F79" s="72" t="s">
        <v>38</v>
      </c>
      <c r="G79" s="7"/>
      <c r="H79" s="7"/>
      <c r="I79" s="7"/>
      <c r="J79" s="7"/>
      <c r="K79" s="5"/>
      <c r="L79" s="5"/>
      <c r="O79" s="89" t="s">
        <v>9</v>
      </c>
      <c r="P79" s="90"/>
      <c r="Q79" s="90"/>
      <c r="R79" s="90" t="s">
        <v>14</v>
      </c>
      <c r="S79" s="84"/>
      <c r="T79" s="91"/>
      <c r="U79" s="195"/>
      <c r="V79" s="92" t="s">
        <v>14</v>
      </c>
      <c r="W79" s="93" t="s">
        <v>16</v>
      </c>
      <c r="X79" s="94" t="s">
        <v>17</v>
      </c>
      <c r="Y79" s="95" t="s">
        <v>11</v>
      </c>
      <c r="Z79" s="95" t="s">
        <v>12</v>
      </c>
      <c r="AA79" s="96" t="s">
        <v>13</v>
      </c>
    </row>
    <row r="80" spans="1:27" ht="15.9" thickBot="1" x14ac:dyDescent="0.55000000000000004">
      <c r="A80" s="14"/>
      <c r="B80" s="14"/>
      <c r="C80" s="33"/>
      <c r="D80" s="7"/>
      <c r="E80" s="74" t="s">
        <v>39</v>
      </c>
      <c r="F80" s="27"/>
      <c r="G80" s="7"/>
      <c r="H80" s="7"/>
      <c r="I80" s="75" t="s">
        <v>91</v>
      </c>
      <c r="J80" s="7"/>
      <c r="K80" s="5"/>
      <c r="L80" s="5"/>
      <c r="O80" s="97">
        <f>+F72</f>
        <v>0</v>
      </c>
      <c r="P80" s="98">
        <v>1000000</v>
      </c>
      <c r="Q80" s="98">
        <f>+O80/P80</f>
        <v>0</v>
      </c>
      <c r="R80" s="99">
        <f>+F88</f>
        <v>0</v>
      </c>
      <c r="S80" s="100">
        <f>+Q80*R80</f>
        <v>0</v>
      </c>
      <c r="T80" s="101">
        <v>1</v>
      </c>
      <c r="U80" s="102">
        <f>+(AA80*T80)/128</f>
        <v>0</v>
      </c>
      <c r="V80" s="103">
        <f>+(U80/T80)/60</f>
        <v>0</v>
      </c>
      <c r="W80" s="104">
        <f>+V80*60</f>
        <v>0</v>
      </c>
      <c r="X80" s="105">
        <f>+W80*3.785412</f>
        <v>0</v>
      </c>
      <c r="Y80" s="106">
        <f>+(S80*128)*29</f>
        <v>0</v>
      </c>
      <c r="Z80" s="106">
        <f>+Y80/29</f>
        <v>0</v>
      </c>
      <c r="AA80" s="107">
        <f>+Z80*60</f>
        <v>0</v>
      </c>
    </row>
    <row r="81" spans="1:30" x14ac:dyDescent="0.5">
      <c r="A81" s="14"/>
      <c r="B81" s="14"/>
      <c r="C81" s="33"/>
      <c r="D81" s="7"/>
      <c r="E81" s="74" t="s">
        <v>7</v>
      </c>
      <c r="F81" s="28"/>
      <c r="G81" s="7"/>
      <c r="H81" s="7"/>
      <c r="I81" s="7"/>
      <c r="J81" s="7"/>
      <c r="K81" s="5"/>
      <c r="L81" s="5"/>
      <c r="O81" s="87"/>
      <c r="P81" s="87"/>
      <c r="Q81" s="87"/>
      <c r="R81" s="87"/>
      <c r="S81" s="87"/>
      <c r="T81" s="87"/>
      <c r="U81" s="87"/>
      <c r="V81" s="79"/>
      <c r="W81" s="79"/>
      <c r="X81" s="79"/>
      <c r="Y81" s="87"/>
      <c r="Z81" s="87"/>
      <c r="AA81" s="87"/>
    </row>
    <row r="82" spans="1:30" x14ac:dyDescent="0.5">
      <c r="A82" s="14"/>
      <c r="B82" s="14"/>
      <c r="C82" s="33"/>
      <c r="D82" s="7"/>
      <c r="E82" s="8"/>
      <c r="F82" s="88">
        <f>+((F72/3.3)*F80)*F81</f>
        <v>0</v>
      </c>
      <c r="G82" s="7" t="s">
        <v>40</v>
      </c>
      <c r="H82" s="7"/>
      <c r="I82" s="7"/>
      <c r="J82" s="7"/>
      <c r="K82" s="5"/>
      <c r="L82" s="5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1:30" x14ac:dyDescent="0.5">
      <c r="A83" s="14"/>
      <c r="B83" s="14"/>
      <c r="C83" s="33"/>
      <c r="D83" s="7"/>
      <c r="E83" s="74" t="s">
        <v>41</v>
      </c>
      <c r="F83" s="20"/>
      <c r="G83" s="7"/>
      <c r="H83" s="7"/>
      <c r="I83" s="7"/>
      <c r="J83" s="7"/>
      <c r="K83" s="5"/>
      <c r="L83" s="5"/>
      <c r="O83" s="112" t="s">
        <v>65</v>
      </c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1:30" ht="13.2" thickBot="1" x14ac:dyDescent="0.55000000000000004">
      <c r="A84" s="14"/>
      <c r="B84" s="14"/>
      <c r="C84" s="33"/>
      <c r="D84" s="7"/>
      <c r="E84" s="108"/>
      <c r="F84" s="133">
        <f>+F82*F83</f>
        <v>0</v>
      </c>
      <c r="G84" s="7" t="s">
        <v>8</v>
      </c>
      <c r="H84" s="7"/>
      <c r="I84" s="75" t="s">
        <v>92</v>
      </c>
      <c r="J84" s="7"/>
      <c r="K84" s="5"/>
      <c r="L84" s="5"/>
      <c r="O84" s="79"/>
      <c r="P84" s="79"/>
      <c r="Q84" s="79"/>
      <c r="R84" s="79"/>
      <c r="S84" s="79"/>
      <c r="T84" s="79"/>
      <c r="U84" s="79"/>
      <c r="V84" s="79"/>
      <c r="W84" s="113"/>
      <c r="X84" s="79"/>
      <c r="Y84" s="79"/>
      <c r="Z84" s="79"/>
      <c r="AA84" s="79"/>
    </row>
    <row r="85" spans="1:30" ht="17.5" customHeight="1" thickBot="1" x14ac:dyDescent="0.55000000000000004">
      <c r="A85" s="14"/>
      <c r="B85" s="14"/>
      <c r="C85" s="33"/>
      <c r="D85" s="7"/>
      <c r="E85" s="110"/>
      <c r="F85" s="111" t="e">
        <f>+F84/F81</f>
        <v>#DIV/0!</v>
      </c>
      <c r="G85" s="7" t="s">
        <v>42</v>
      </c>
      <c r="H85" s="7"/>
      <c r="I85" s="7"/>
      <c r="J85" s="7"/>
      <c r="K85" s="5"/>
      <c r="L85" s="5"/>
      <c r="O85" s="114" t="s">
        <v>66</v>
      </c>
      <c r="P85" s="115"/>
      <c r="Q85" s="116"/>
      <c r="R85" s="117" t="s">
        <v>67</v>
      </c>
      <c r="S85" s="118"/>
      <c r="T85" s="79"/>
      <c r="U85" s="79"/>
      <c r="V85" s="79"/>
      <c r="W85" s="119"/>
      <c r="X85" s="79"/>
      <c r="Y85" s="79"/>
      <c r="Z85" s="79"/>
      <c r="AA85" s="79"/>
    </row>
    <row r="86" spans="1:30" ht="15.9" thickBot="1" x14ac:dyDescent="0.55000000000000004">
      <c r="A86" s="14"/>
      <c r="B86" s="14"/>
      <c r="C86" s="33"/>
      <c r="D86" s="7"/>
      <c r="E86" s="7"/>
      <c r="F86" s="110"/>
      <c r="G86" s="7"/>
      <c r="H86" s="7"/>
      <c r="I86" s="7"/>
      <c r="J86" s="7"/>
      <c r="K86" s="5"/>
      <c r="L86" s="5"/>
      <c r="O86" s="122">
        <f>+F93</f>
        <v>0</v>
      </c>
      <c r="P86" s="123"/>
      <c r="Q86" s="124"/>
      <c r="R86" s="17" t="e">
        <f>+W80/O86</f>
        <v>#DIV/0!</v>
      </c>
      <c r="S86" s="118"/>
      <c r="T86" s="125" t="s">
        <v>68</v>
      </c>
      <c r="U86" s="79"/>
      <c r="V86" s="79" t="s">
        <v>69</v>
      </c>
      <c r="W86" s="79"/>
      <c r="X86" s="79"/>
      <c r="Y86" s="79"/>
      <c r="Z86" s="79"/>
      <c r="AA86" s="79"/>
    </row>
    <row r="87" spans="1:30" x14ac:dyDescent="0.5">
      <c r="A87" s="14"/>
      <c r="B87" s="14"/>
      <c r="C87" s="31" t="s">
        <v>55</v>
      </c>
      <c r="D87" s="7" t="s">
        <v>44</v>
      </c>
      <c r="E87" s="7"/>
      <c r="F87" s="7"/>
      <c r="G87" s="7"/>
      <c r="H87" s="7"/>
      <c r="I87" s="7"/>
      <c r="J87" s="7"/>
      <c r="K87" s="5"/>
      <c r="L87" s="5"/>
    </row>
    <row r="88" spans="1:30" x14ac:dyDescent="0.5">
      <c r="A88" s="14"/>
      <c r="B88" s="14"/>
      <c r="C88" s="33"/>
      <c r="D88" s="7"/>
      <c r="E88" s="74" t="s">
        <v>45</v>
      </c>
      <c r="F88" s="19"/>
      <c r="G88" s="7"/>
      <c r="H88" s="7"/>
      <c r="I88" s="7"/>
      <c r="J88" s="7"/>
      <c r="K88" s="5"/>
      <c r="L88" s="5"/>
      <c r="N88" s="35"/>
      <c r="AC88" s="7"/>
      <c r="AD88" s="7"/>
    </row>
    <row r="89" spans="1:30" x14ac:dyDescent="0.5">
      <c r="A89" s="14"/>
      <c r="B89" s="14"/>
      <c r="C89" s="33"/>
      <c r="D89" s="7"/>
      <c r="E89" s="7"/>
      <c r="F89" s="18" t="e">
        <f>333333/F88</f>
        <v>#DIV/0!</v>
      </c>
      <c r="G89" s="7" t="s">
        <v>46</v>
      </c>
      <c r="H89" s="7"/>
      <c r="I89" s="7"/>
      <c r="J89" s="7"/>
      <c r="K89" s="5"/>
      <c r="L89" s="5"/>
      <c r="N89" s="35"/>
      <c r="AC89" s="7"/>
      <c r="AD89" s="7"/>
    </row>
    <row r="90" spans="1:30" x14ac:dyDescent="0.5">
      <c r="A90" s="14"/>
      <c r="B90" s="14"/>
      <c r="C90" s="33"/>
      <c r="D90" s="7"/>
      <c r="E90" s="7"/>
      <c r="F90" s="18" t="e">
        <f>+F76/F89</f>
        <v>#DIV/0!</v>
      </c>
      <c r="G90" s="7" t="s">
        <v>47</v>
      </c>
      <c r="H90" s="7"/>
      <c r="I90" s="7"/>
      <c r="J90" s="7"/>
      <c r="K90" s="5"/>
      <c r="L90" s="5"/>
      <c r="AC90" s="7"/>
      <c r="AD90" s="7"/>
    </row>
    <row r="91" spans="1:30" x14ac:dyDescent="0.5">
      <c r="A91" s="14"/>
      <c r="B91" s="14"/>
      <c r="C91" s="33"/>
      <c r="D91" s="7"/>
      <c r="E91" s="7"/>
      <c r="F91" s="1" t="e">
        <f>+F90/30</f>
        <v>#DIV/0!</v>
      </c>
      <c r="G91" s="7" t="s">
        <v>48</v>
      </c>
      <c r="H91" s="7"/>
      <c r="I91" s="7"/>
      <c r="J91" s="7"/>
      <c r="K91" s="5"/>
      <c r="L91" s="5"/>
    </row>
    <row r="92" spans="1:30" x14ac:dyDescent="0.5">
      <c r="A92" s="14"/>
      <c r="B92" s="14"/>
      <c r="C92" s="33"/>
      <c r="D92" s="7"/>
      <c r="E92" s="7"/>
      <c r="F92" s="1">
        <f>+W80</f>
        <v>0</v>
      </c>
      <c r="G92" s="7" t="s">
        <v>70</v>
      </c>
      <c r="H92" s="7"/>
      <c r="I92" s="7"/>
      <c r="J92" s="7"/>
      <c r="K92" s="5"/>
      <c r="L92" s="5"/>
    </row>
    <row r="93" spans="1:30" x14ac:dyDescent="0.5">
      <c r="A93" s="14"/>
      <c r="B93" s="14"/>
      <c r="C93" s="33"/>
      <c r="D93" s="7"/>
      <c r="E93" s="74" t="s">
        <v>71</v>
      </c>
      <c r="F93" s="19"/>
      <c r="G93" s="7"/>
      <c r="H93" s="7"/>
      <c r="I93" s="7"/>
      <c r="J93" s="7"/>
      <c r="K93" s="5"/>
      <c r="L93" s="5"/>
    </row>
    <row r="94" spans="1:30" x14ac:dyDescent="0.5">
      <c r="A94" s="14"/>
      <c r="B94" s="14"/>
      <c r="C94" s="33"/>
      <c r="D94" s="7"/>
      <c r="E94" s="7"/>
      <c r="F94" s="30" t="e">
        <f>+R86</f>
        <v>#DIV/0!</v>
      </c>
      <c r="G94" s="7" t="s">
        <v>72</v>
      </c>
      <c r="H94" s="7"/>
      <c r="I94" s="7"/>
      <c r="J94" s="7"/>
      <c r="K94" s="5"/>
      <c r="L94" s="5"/>
    </row>
    <row r="95" spans="1:30" x14ac:dyDescent="0.5">
      <c r="A95" s="14"/>
      <c r="B95" s="120"/>
      <c r="C95" s="126"/>
      <c r="D95" s="36"/>
      <c r="E95" s="36"/>
      <c r="F95" s="127"/>
      <c r="G95" s="36"/>
      <c r="H95" s="36"/>
      <c r="I95" s="36"/>
      <c r="J95" s="36"/>
      <c r="K95" s="121"/>
      <c r="L95" s="5"/>
    </row>
    <row r="96" spans="1:30" x14ac:dyDescent="0.5">
      <c r="A96" s="14"/>
      <c r="B96" s="7"/>
      <c r="C96" s="33"/>
      <c r="D96" s="7"/>
      <c r="E96" s="7"/>
      <c r="F96" s="110"/>
      <c r="G96" s="7"/>
      <c r="H96" s="7"/>
      <c r="I96" s="7"/>
      <c r="J96" s="7"/>
      <c r="K96" s="7"/>
      <c r="L96" s="5"/>
    </row>
    <row r="97" spans="1:12" x14ac:dyDescent="0.5">
      <c r="A97" s="14"/>
      <c r="B97" s="12"/>
      <c r="C97" s="13"/>
      <c r="D97" s="2"/>
      <c r="E97" s="134" t="s">
        <v>56</v>
      </c>
      <c r="F97" s="134" t="s">
        <v>57</v>
      </c>
      <c r="G97" s="2"/>
      <c r="H97" s="2"/>
      <c r="I97" s="2"/>
      <c r="J97" s="2"/>
      <c r="K97" s="3"/>
      <c r="L97" s="5"/>
    </row>
    <row r="98" spans="1:12" x14ac:dyDescent="0.5">
      <c r="A98" s="14"/>
      <c r="B98" s="14"/>
      <c r="C98" s="31" t="s">
        <v>58</v>
      </c>
      <c r="D98" s="7" t="s">
        <v>4</v>
      </c>
      <c r="E98" s="135">
        <f>+E84+E51</f>
        <v>0</v>
      </c>
      <c r="F98" s="136">
        <f>+F51+F84</f>
        <v>0</v>
      </c>
      <c r="G98" s="7" t="s">
        <v>8</v>
      </c>
      <c r="H98" s="7"/>
      <c r="I98" s="7"/>
      <c r="J98" s="7"/>
      <c r="K98" s="5"/>
      <c r="L98" s="5"/>
    </row>
    <row r="99" spans="1:12" x14ac:dyDescent="0.5">
      <c r="A99" s="14"/>
      <c r="B99" s="14"/>
      <c r="C99" s="33"/>
      <c r="D99" s="7"/>
      <c r="E99" s="7"/>
      <c r="F99" s="136" t="e">
        <f>+F52+F85</f>
        <v>#DIV/0!</v>
      </c>
      <c r="G99" s="7" t="s">
        <v>42</v>
      </c>
      <c r="H99" s="7"/>
      <c r="I99" s="7"/>
      <c r="J99" s="7"/>
      <c r="K99" s="5"/>
      <c r="L99" s="5"/>
    </row>
    <row r="100" spans="1:12" x14ac:dyDescent="0.5">
      <c r="A100" s="14"/>
      <c r="B100" s="120"/>
      <c r="C100" s="126"/>
      <c r="D100" s="36"/>
      <c r="E100" s="36"/>
      <c r="F100" s="36"/>
      <c r="G100" s="36"/>
      <c r="H100" s="36"/>
      <c r="I100" s="36"/>
      <c r="J100" s="36"/>
      <c r="K100" s="121"/>
      <c r="L100" s="5"/>
    </row>
    <row r="101" spans="1:12" x14ac:dyDescent="0.5">
      <c r="A101" s="120"/>
      <c r="B101" s="36"/>
      <c r="C101" s="126"/>
      <c r="D101" s="36"/>
      <c r="E101" s="36"/>
      <c r="F101" s="36"/>
      <c r="G101" s="36"/>
      <c r="H101" s="36"/>
      <c r="I101" s="36"/>
      <c r="J101" s="36"/>
      <c r="K101" s="36"/>
      <c r="L101" s="121"/>
    </row>
    <row r="102" spans="1:12" x14ac:dyDescent="0.5">
      <c r="C102" s="15"/>
    </row>
  </sheetData>
  <sheetProtection sheet="1" selectLockedCells="1"/>
  <mergeCells count="21">
    <mergeCell ref="U48:U49"/>
    <mergeCell ref="X48:Y48"/>
    <mergeCell ref="U78:U79"/>
    <mergeCell ref="X78:Y78"/>
    <mergeCell ref="D35:E35"/>
    <mergeCell ref="D71:E71"/>
    <mergeCell ref="E45:E47"/>
    <mergeCell ref="E28:F28"/>
    <mergeCell ref="E18:F18"/>
    <mergeCell ref="I9:K9"/>
    <mergeCell ref="E8:G8"/>
    <mergeCell ref="I10:K10"/>
    <mergeCell ref="E11:G11"/>
    <mergeCell ref="I11:K11"/>
    <mergeCell ref="E12:G12"/>
    <mergeCell ref="I12:K12"/>
    <mergeCell ref="I8:K8"/>
    <mergeCell ref="E9:G9"/>
    <mergeCell ref="E10:G10"/>
    <mergeCell ref="D22:F22"/>
    <mergeCell ref="D24:F24"/>
  </mergeCells>
  <pageMargins left="0.25" right="0.25" top="0.75" bottom="0.75" header="0.3" footer="0.3"/>
  <pageSetup scale="80" fitToHeight="2" orientation="portrait" verticalDpi="0" r:id="rId1"/>
  <rowBreaks count="1" manualBreakCount="1">
    <brk id="6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3DF6-B531-4D20-B43E-2D3A28615C89}">
  <sheetPr>
    <tabColor rgb="FFFFFF00"/>
  </sheetPr>
  <dimension ref="A1:AJ96"/>
  <sheetViews>
    <sheetView zoomScaleNormal="100" workbookViewId="0">
      <selection activeCell="C24" sqref="C24"/>
    </sheetView>
  </sheetViews>
  <sheetFormatPr defaultColWidth="8.8203125" defaultRowHeight="12.9" x14ac:dyDescent="0.5"/>
  <cols>
    <col min="1" max="1" width="6.41015625" style="4" customWidth="1"/>
    <col min="2" max="2" width="2.8203125" style="149" customWidth="1"/>
    <col min="3" max="7" width="8.8203125" style="149"/>
    <col min="8" max="8" width="13.8203125" style="149" customWidth="1"/>
    <col min="9" max="10" width="8.8203125" style="149"/>
    <col min="11" max="11" width="10.8203125" style="149" customWidth="1"/>
    <col min="12" max="12" width="8.8203125" style="149"/>
    <col min="13" max="13" width="5.5859375" style="149" customWidth="1"/>
    <col min="14" max="14" width="8.8203125" style="149"/>
    <col min="15" max="15" width="23.17578125" style="149" customWidth="1"/>
    <col min="16" max="16" width="7.41015625" style="149" customWidth="1"/>
    <col min="17" max="16384" width="8.8203125" style="149"/>
  </cols>
  <sheetData>
    <row r="1" spans="1:36" s="4" customFormat="1" x14ac:dyDescent="0.5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36" ht="20.399999999999999" x14ac:dyDescent="0.75">
      <c r="A2" s="144"/>
      <c r="B2" s="145"/>
      <c r="C2" s="146" t="s">
        <v>129</v>
      </c>
      <c r="D2" s="147"/>
      <c r="E2" s="147"/>
      <c r="F2" s="147"/>
      <c r="G2" s="147"/>
      <c r="H2" s="147"/>
      <c r="I2" s="147"/>
      <c r="J2" s="147"/>
      <c r="K2" s="147"/>
      <c r="L2" s="148"/>
      <c r="N2" s="172" t="s">
        <v>133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 s="4" customFormat="1" ht="15.6" x14ac:dyDescent="0.6">
      <c r="A3" s="144"/>
      <c r="B3" s="130"/>
      <c r="C3" s="150" t="s">
        <v>130</v>
      </c>
      <c r="D3" s="130"/>
      <c r="E3" s="130"/>
      <c r="F3" s="130"/>
      <c r="G3" s="130"/>
      <c r="H3" s="130"/>
      <c r="I3" s="130"/>
      <c r="J3" s="130"/>
      <c r="K3" s="130"/>
      <c r="L3" s="151"/>
      <c r="N3" s="172" t="s">
        <v>138</v>
      </c>
    </row>
    <row r="4" spans="1:36" s="4" customFormat="1" ht="15.6" x14ac:dyDescent="0.6">
      <c r="A4" s="144"/>
      <c r="B4" s="130"/>
      <c r="C4" s="150" t="s">
        <v>131</v>
      </c>
      <c r="D4" s="130"/>
      <c r="E4" s="130"/>
      <c r="F4" s="130"/>
      <c r="G4" s="130"/>
      <c r="H4" s="130"/>
      <c r="I4" s="130"/>
      <c r="J4" s="130"/>
      <c r="K4" s="130"/>
      <c r="L4" s="151"/>
    </row>
    <row r="5" spans="1:36" s="4" customFormat="1" x14ac:dyDescent="0.5">
      <c r="A5" s="144"/>
      <c r="B5" s="130"/>
      <c r="C5" s="145" t="s">
        <v>132</v>
      </c>
      <c r="D5" s="130"/>
      <c r="E5" s="130"/>
      <c r="F5" s="130"/>
      <c r="G5" s="130"/>
      <c r="H5" s="130"/>
      <c r="I5" s="130"/>
      <c r="J5" s="130"/>
      <c r="K5" s="130"/>
      <c r="L5" s="151"/>
    </row>
    <row r="6" spans="1:36" s="4" customFormat="1" ht="20.399999999999999" x14ac:dyDescent="0.75">
      <c r="A6" s="14"/>
      <c r="B6" s="7"/>
      <c r="C6" s="53"/>
      <c r="D6" s="7"/>
      <c r="E6" s="7"/>
      <c r="F6" s="7"/>
      <c r="G6" s="7"/>
      <c r="H6" s="7"/>
      <c r="I6" s="7"/>
      <c r="J6" s="7"/>
      <c r="K6" s="7"/>
      <c r="L6" s="5"/>
    </row>
    <row r="7" spans="1:36" x14ac:dyDescent="0.5">
      <c r="A7" s="14"/>
      <c r="B7" s="7"/>
      <c r="C7" s="32" t="s">
        <v>93</v>
      </c>
      <c r="D7" s="204"/>
      <c r="E7" s="204"/>
      <c r="F7" s="204"/>
      <c r="G7" s="204"/>
      <c r="H7" s="204"/>
      <c r="I7" s="7"/>
      <c r="J7" s="7"/>
      <c r="K7" s="7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5">
      <c r="A8" s="14"/>
      <c r="B8" s="7"/>
      <c r="C8" s="32" t="s">
        <v>10</v>
      </c>
      <c r="D8" s="205"/>
      <c r="E8" s="204"/>
      <c r="F8" s="204"/>
      <c r="G8" s="204"/>
      <c r="H8" s="204"/>
      <c r="I8" s="7"/>
      <c r="J8" s="7"/>
      <c r="K8" s="7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5">
      <c r="A9" s="14"/>
      <c r="B9" s="7"/>
      <c r="C9" s="32" t="s">
        <v>94</v>
      </c>
      <c r="D9" s="204"/>
      <c r="E9" s="204"/>
      <c r="F9" s="204"/>
      <c r="G9" s="204"/>
      <c r="H9" s="204"/>
      <c r="I9" s="7"/>
      <c r="J9" s="7"/>
      <c r="K9" s="7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4" customFormat="1" x14ac:dyDescent="0.5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</row>
    <row r="11" spans="1:36" s="4" customFormat="1" ht="15.6" x14ac:dyDescent="0.6">
      <c r="A11" s="14"/>
      <c r="B11" s="7"/>
      <c r="C11" s="152" t="s">
        <v>95</v>
      </c>
      <c r="D11" s="7"/>
      <c r="E11" s="7"/>
      <c r="F11" s="7"/>
      <c r="G11" s="7"/>
      <c r="H11" s="7"/>
      <c r="I11" s="7"/>
      <c r="J11" s="7"/>
      <c r="K11" s="7"/>
      <c r="L11" s="5"/>
    </row>
    <row r="12" spans="1:36" x14ac:dyDescent="0.5">
      <c r="A12" s="14"/>
      <c r="B12" s="7"/>
      <c r="C12" s="7" t="s">
        <v>96</v>
      </c>
      <c r="D12" s="20"/>
      <c r="E12" s="7" t="s">
        <v>9</v>
      </c>
      <c r="F12" s="7"/>
      <c r="G12" s="7"/>
      <c r="H12" s="7"/>
      <c r="I12" s="7"/>
      <c r="J12" s="7"/>
      <c r="K12" s="7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5">
      <c r="A13" s="14"/>
      <c r="B13" s="7"/>
      <c r="C13" s="7" t="s">
        <v>97</v>
      </c>
      <c r="D13" s="20"/>
      <c r="E13" s="7" t="s">
        <v>9</v>
      </c>
      <c r="F13" s="7"/>
      <c r="G13" s="7"/>
      <c r="H13" s="7"/>
      <c r="I13" s="7"/>
      <c r="J13" s="7"/>
      <c r="K13" s="7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4" customFormat="1" x14ac:dyDescent="0.5">
      <c r="A14" s="14"/>
      <c r="B14" s="7"/>
      <c r="C14" s="7" t="s">
        <v>4</v>
      </c>
      <c r="D14" s="1">
        <f>+D12+D13</f>
        <v>0</v>
      </c>
      <c r="E14" s="7"/>
      <c r="F14" s="7"/>
      <c r="G14" s="7"/>
      <c r="H14" s="7"/>
      <c r="I14" s="139"/>
      <c r="J14" s="7"/>
      <c r="K14" s="7"/>
      <c r="L14" s="5"/>
    </row>
    <row r="15" spans="1:36" s="4" customFormat="1" x14ac:dyDescent="0.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</row>
    <row r="16" spans="1:36" s="4" customFormat="1" ht="15.6" x14ac:dyDescent="0.6">
      <c r="A16" s="14"/>
      <c r="B16" s="7"/>
      <c r="C16" s="152" t="s">
        <v>98</v>
      </c>
      <c r="D16" s="7"/>
      <c r="E16" s="7"/>
      <c r="F16" s="7"/>
      <c r="G16" s="7"/>
      <c r="H16" s="7"/>
      <c r="I16" s="7"/>
      <c r="J16" s="7"/>
      <c r="K16" s="7"/>
      <c r="L16" s="5"/>
    </row>
    <row r="17" spans="1:36" x14ac:dyDescent="0.5">
      <c r="A17" s="14"/>
      <c r="B17" s="7"/>
      <c r="C17" s="7"/>
      <c r="D17" s="168">
        <v>0.5</v>
      </c>
      <c r="E17" s="153" t="s">
        <v>99</v>
      </c>
      <c r="F17" s="145"/>
      <c r="G17" s="140"/>
      <c r="H17" s="7"/>
      <c r="I17" s="141"/>
      <c r="J17" s="145"/>
      <c r="K17" s="14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4" customFormat="1" x14ac:dyDescent="0.5">
      <c r="A18" s="14"/>
      <c r="B18" s="7"/>
      <c r="C18" s="7"/>
      <c r="D18" s="7"/>
      <c r="E18" s="7"/>
      <c r="F18" s="145"/>
      <c r="G18" s="145"/>
      <c r="H18" s="7"/>
      <c r="I18" s="145"/>
      <c r="J18" s="145"/>
      <c r="K18" s="145"/>
      <c r="L18" s="5"/>
    </row>
    <row r="19" spans="1:36" s="4" customFormat="1" ht="15.6" x14ac:dyDescent="0.6">
      <c r="A19" s="14"/>
      <c r="B19" s="7"/>
      <c r="C19" s="152" t="s">
        <v>100</v>
      </c>
      <c r="D19" s="7"/>
      <c r="E19" s="7"/>
      <c r="F19" s="7"/>
      <c r="G19" s="7"/>
      <c r="H19" s="34" t="s">
        <v>101</v>
      </c>
      <c r="I19" s="154" t="s">
        <v>102</v>
      </c>
      <c r="J19" s="7"/>
      <c r="K19" s="7"/>
      <c r="L19" s="5"/>
    </row>
    <row r="20" spans="1:36" x14ac:dyDescent="0.5">
      <c r="A20" s="14"/>
      <c r="B20" s="7"/>
      <c r="C20" s="7" t="s">
        <v>96</v>
      </c>
      <c r="D20" s="155">
        <f>+D12*H20</f>
        <v>0</v>
      </c>
      <c r="E20" s="7" t="s">
        <v>9</v>
      </c>
      <c r="F20" s="7"/>
      <c r="G20" s="7"/>
      <c r="H20" s="21">
        <v>2</v>
      </c>
      <c r="I20" s="145" t="s">
        <v>103</v>
      </c>
      <c r="J20" s="7"/>
      <c r="K20" s="7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4" customFormat="1" x14ac:dyDescent="0.5">
      <c r="A21" s="14"/>
      <c r="B21" s="7"/>
      <c r="C21" s="7" t="s">
        <v>97</v>
      </c>
      <c r="D21" s="71">
        <f>+D13*H20</f>
        <v>0</v>
      </c>
      <c r="E21" s="7" t="s">
        <v>9</v>
      </c>
      <c r="F21" s="7"/>
      <c r="G21" s="7"/>
      <c r="H21" s="156"/>
      <c r="I21" s="7" t="s">
        <v>104</v>
      </c>
      <c r="J21" s="7"/>
      <c r="K21" s="7"/>
      <c r="L21" s="5"/>
    </row>
    <row r="22" spans="1:36" s="4" customFormat="1" ht="13.2" thickBot="1" x14ac:dyDescent="0.55000000000000004">
      <c r="A22" s="14"/>
      <c r="B22" s="7"/>
      <c r="C22" s="157" t="s">
        <v>4</v>
      </c>
      <c r="D22" s="158">
        <f>SUM(D20:D21)</f>
        <v>0</v>
      </c>
      <c r="E22" s="32" t="s">
        <v>105</v>
      </c>
      <c r="F22" s="7"/>
      <c r="G22" s="7"/>
      <c r="H22" s="7"/>
      <c r="I22" s="7"/>
      <c r="J22" s="7"/>
      <c r="K22" s="7"/>
      <c r="L22" s="5"/>
    </row>
    <row r="23" spans="1:36" s="4" customFormat="1" ht="13.2" thickTop="1" x14ac:dyDescent="0.5">
      <c r="A23" s="14"/>
      <c r="B23" s="7"/>
      <c r="C23" s="7"/>
      <c r="D23" s="7"/>
      <c r="E23" s="7"/>
      <c r="F23" s="7"/>
      <c r="G23" s="159"/>
      <c r="H23" s="7"/>
      <c r="I23" s="206" t="s">
        <v>135</v>
      </c>
      <c r="J23" s="207"/>
      <c r="K23" s="208"/>
      <c r="L23" s="5"/>
    </row>
    <row r="24" spans="1:36" x14ac:dyDescent="0.5">
      <c r="A24" s="14"/>
      <c r="B24" s="7"/>
      <c r="C24" s="22"/>
      <c r="D24" s="32" t="s">
        <v>106</v>
      </c>
      <c r="E24" s="7"/>
      <c r="F24" s="7"/>
      <c r="G24" s="159"/>
      <c r="H24" s="7"/>
      <c r="I24" s="164" t="s">
        <v>84</v>
      </c>
      <c r="J24" s="164" t="s">
        <v>85</v>
      </c>
      <c r="K24" s="165" t="s">
        <v>86</v>
      </c>
      <c r="L24" s="16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4" customFormat="1" ht="15.6" x14ac:dyDescent="0.6">
      <c r="A25" s="14"/>
      <c r="B25" s="7"/>
      <c r="C25" s="152" t="s">
        <v>107</v>
      </c>
      <c r="D25" s="152"/>
      <c r="E25" s="160" t="s">
        <v>108</v>
      </c>
      <c r="F25" s="7" t="s">
        <v>109</v>
      </c>
      <c r="G25" s="7"/>
      <c r="H25" s="7"/>
      <c r="I25" s="206" t="s">
        <v>134</v>
      </c>
      <c r="J25" s="207"/>
      <c r="K25" s="208"/>
      <c r="L25" s="167"/>
    </row>
    <row r="26" spans="1:36" s="4" customFormat="1" x14ac:dyDescent="0.5">
      <c r="A26" s="14"/>
      <c r="B26" s="7"/>
      <c r="C26" s="7" t="s">
        <v>110</v>
      </c>
      <c r="D26" s="71">
        <f>C24*D17</f>
        <v>0</v>
      </c>
      <c r="E26" s="139" t="e">
        <f>+D26/D29</f>
        <v>#DIV/0!</v>
      </c>
      <c r="F26" s="142">
        <f>+D26*8.345</f>
        <v>0</v>
      </c>
      <c r="G26" s="7"/>
      <c r="I26" s="170">
        <v>1</v>
      </c>
      <c r="J26" s="170">
        <v>1</v>
      </c>
      <c r="K26" s="171">
        <v>1</v>
      </c>
      <c r="L26" s="167"/>
      <c r="N26" s="143" t="s">
        <v>111</v>
      </c>
    </row>
    <row r="27" spans="1:36" s="4" customFormat="1" x14ac:dyDescent="0.5">
      <c r="A27" s="14"/>
      <c r="B27" s="7"/>
      <c r="C27" s="7" t="s">
        <v>96</v>
      </c>
      <c r="D27" s="71" t="e">
        <f>+(C24-D26)*(D12/D14)</f>
        <v>#DIV/0!</v>
      </c>
      <c r="E27" s="139" t="e">
        <f>+D27/D29</f>
        <v>#DIV/0!</v>
      </c>
      <c r="F27" s="142" t="e">
        <f>9.179*D27</f>
        <v>#DIV/0!</v>
      </c>
      <c r="G27" s="7"/>
      <c r="I27" s="170">
        <v>22.27</v>
      </c>
      <c r="J27" s="170">
        <v>18.18</v>
      </c>
      <c r="K27" s="171">
        <v>15.5</v>
      </c>
      <c r="L27" s="167"/>
      <c r="N27" s="153" t="s">
        <v>112</v>
      </c>
    </row>
    <row r="28" spans="1:36" s="4" customFormat="1" x14ac:dyDescent="0.5">
      <c r="A28" s="14"/>
      <c r="B28" s="7"/>
      <c r="C28" s="7" t="s">
        <v>97</v>
      </c>
      <c r="D28" s="71" t="e">
        <f>+(C24-D26)*(D13/D14)</f>
        <v>#DIV/0!</v>
      </c>
      <c r="E28" s="139" t="e">
        <f>+D28/D29</f>
        <v>#DIV/0!</v>
      </c>
      <c r="F28" s="142" t="e">
        <f>9.179*D28</f>
        <v>#DIV/0!</v>
      </c>
      <c r="G28" s="7"/>
      <c r="H28" s="7"/>
      <c r="I28" s="170">
        <v>27.01</v>
      </c>
      <c r="J28" s="170">
        <v>23.05</v>
      </c>
      <c r="K28" s="171">
        <v>19.21</v>
      </c>
      <c r="L28" s="167"/>
    </row>
    <row r="29" spans="1:36" s="4" customFormat="1" ht="13.2" thickBot="1" x14ac:dyDescent="0.55000000000000004">
      <c r="A29" s="14"/>
      <c r="B29" s="7"/>
      <c r="C29" s="157" t="s">
        <v>4</v>
      </c>
      <c r="D29" s="158" t="e">
        <f>SUM(D26:D28)</f>
        <v>#DIV/0!</v>
      </c>
      <c r="E29" s="161" t="e">
        <f>SUM(E26:E28)</f>
        <v>#DIV/0!</v>
      </c>
      <c r="F29" s="162" t="e">
        <f>SUM(F26:F28)</f>
        <v>#DIV/0!</v>
      </c>
      <c r="G29" s="7"/>
      <c r="H29" s="7"/>
      <c r="I29" s="111" t="e">
        <f>+(D26*I26)+(D27*I27)+(D28*I28)</f>
        <v>#DIV/0!</v>
      </c>
      <c r="J29" s="111" t="e">
        <f>+(D26*J26)+(D27*J27)+(D28*J28)</f>
        <v>#DIV/0!</v>
      </c>
      <c r="K29" s="111" t="e">
        <f>+(D26*K26)+(D27*K27)+(D28*K28)</f>
        <v>#DIV/0!</v>
      </c>
      <c r="L29" s="5"/>
    </row>
    <row r="30" spans="1:36" s="4" customFormat="1" ht="13.2" thickTop="1" x14ac:dyDescent="0.5">
      <c r="A30" s="14"/>
      <c r="B30" s="7"/>
      <c r="D30" s="7"/>
      <c r="E30" s="7"/>
      <c r="G30" s="74" t="s">
        <v>136</v>
      </c>
      <c r="H30" s="169">
        <v>0.12</v>
      </c>
      <c r="I30" s="136" t="e">
        <f>+$H$30*I29</f>
        <v>#DIV/0!</v>
      </c>
      <c r="J30" s="136" t="e">
        <f t="shared" ref="J30:K30" si="0">+$H$30*J29</f>
        <v>#DIV/0!</v>
      </c>
      <c r="K30" s="136" t="e">
        <f t="shared" si="0"/>
        <v>#DIV/0!</v>
      </c>
      <c r="L30" s="5"/>
    </row>
    <row r="31" spans="1:36" s="4" customFormat="1" x14ac:dyDescent="0.5">
      <c r="B31" s="7"/>
      <c r="D31" s="7"/>
      <c r="E31" s="7"/>
      <c r="G31" s="74" t="s">
        <v>4</v>
      </c>
      <c r="H31" s="7"/>
      <c r="I31" s="136" t="e">
        <f>SUM(I29:I30)</f>
        <v>#DIV/0!</v>
      </c>
      <c r="J31" s="136" t="e">
        <f t="shared" ref="J31:K31" si="1">SUM(J29:J30)</f>
        <v>#DIV/0!</v>
      </c>
      <c r="K31" s="136" t="e">
        <f t="shared" si="1"/>
        <v>#DIV/0!</v>
      </c>
      <c r="L31" s="5"/>
    </row>
    <row r="32" spans="1:36" s="4" customFormat="1" x14ac:dyDescent="0.5">
      <c r="A32" s="14"/>
      <c r="B32" s="7"/>
      <c r="D32" s="7"/>
      <c r="E32" s="7"/>
      <c r="G32" s="74" t="s">
        <v>137</v>
      </c>
      <c r="H32" s="7"/>
      <c r="I32" s="111" t="e">
        <f>+I31/$C$24</f>
        <v>#DIV/0!</v>
      </c>
      <c r="J32" s="111" t="e">
        <f t="shared" ref="J32:K32" si="2">+J31/$C$24</f>
        <v>#DIV/0!</v>
      </c>
      <c r="K32" s="111" t="e">
        <f t="shared" si="2"/>
        <v>#DIV/0!</v>
      </c>
      <c r="L32" s="5"/>
    </row>
    <row r="33" spans="1:36" s="4" customFormat="1" x14ac:dyDescent="0.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</row>
    <row r="34" spans="1:36" s="4" customFormat="1" x14ac:dyDescent="0.5">
      <c r="A34" s="14"/>
      <c r="B34" s="7"/>
      <c r="C34" s="7" t="s">
        <v>113</v>
      </c>
      <c r="D34" s="7"/>
      <c r="E34" s="7"/>
      <c r="F34" s="71" t="e">
        <f>+(F29/C24)</f>
        <v>#DIV/0!</v>
      </c>
      <c r="G34" s="7"/>
      <c r="H34" s="7"/>
      <c r="I34" s="7"/>
      <c r="J34" s="7"/>
      <c r="K34" s="7"/>
      <c r="L34" s="5"/>
    </row>
    <row r="35" spans="1:36" s="4" customFormat="1" x14ac:dyDescent="0.5">
      <c r="A35" s="14"/>
      <c r="B35" s="7"/>
      <c r="C35" s="7" t="s">
        <v>114</v>
      </c>
      <c r="D35" s="7"/>
      <c r="E35" s="7"/>
      <c r="F35" s="71" t="e">
        <f>+F34/8.345</f>
        <v>#DIV/0!</v>
      </c>
      <c r="G35" s="7"/>
      <c r="H35" s="7"/>
      <c r="I35" s="7"/>
      <c r="J35" s="7"/>
      <c r="K35" s="7"/>
      <c r="L35" s="5"/>
      <c r="N35" s="50" t="s">
        <v>127</v>
      </c>
      <c r="O35" s="2"/>
      <c r="P35" s="2"/>
      <c r="Q35" s="2"/>
      <c r="R35" s="2"/>
      <c r="S35" s="2"/>
      <c r="T35" s="3"/>
    </row>
    <row r="36" spans="1:36" s="4" customFormat="1" ht="13.2" thickBot="1" x14ac:dyDescent="0.55000000000000004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5"/>
      <c r="N36" s="14"/>
      <c r="O36" s="7"/>
      <c r="P36" s="7"/>
      <c r="Q36" s="7"/>
      <c r="R36" s="7"/>
      <c r="S36" s="7"/>
      <c r="T36" s="5"/>
    </row>
    <row r="37" spans="1:36" s="4" customFormat="1" x14ac:dyDescent="0.5">
      <c r="A37" s="14"/>
      <c r="B37" s="7"/>
      <c r="C37" s="7"/>
      <c r="D37" s="197" t="s">
        <v>29</v>
      </c>
      <c r="E37" s="198"/>
      <c r="F37" s="59"/>
      <c r="G37" s="59"/>
      <c r="H37" s="60"/>
      <c r="I37" s="7"/>
      <c r="J37" s="7"/>
      <c r="K37" s="7"/>
      <c r="L37" s="5"/>
      <c r="N37" s="14"/>
      <c r="T37" s="5"/>
    </row>
    <row r="38" spans="1:36" s="4" customFormat="1" ht="13.5" customHeight="1" x14ac:dyDescent="0.5">
      <c r="A38" s="14"/>
      <c r="B38" s="7"/>
      <c r="C38" s="33"/>
      <c r="D38" s="11" t="s">
        <v>30</v>
      </c>
      <c r="E38" s="7"/>
      <c r="F38" s="1">
        <f>+D22</f>
        <v>0</v>
      </c>
      <c r="G38" s="7" t="s">
        <v>31</v>
      </c>
      <c r="H38" s="62"/>
      <c r="I38" s="7"/>
      <c r="J38" s="7"/>
      <c r="K38" s="7"/>
      <c r="L38" s="5"/>
      <c r="N38" s="14"/>
      <c r="O38" s="202" t="s">
        <v>116</v>
      </c>
      <c r="T38" s="5"/>
    </row>
    <row r="39" spans="1:36" s="4" customFormat="1" x14ac:dyDescent="0.5">
      <c r="A39" s="14"/>
      <c r="B39" s="7"/>
      <c r="C39" s="33"/>
      <c r="D39" s="11"/>
      <c r="E39" s="7"/>
      <c r="F39" s="1">
        <f>+F38/3.068</f>
        <v>0</v>
      </c>
      <c r="G39" s="7" t="s">
        <v>32</v>
      </c>
      <c r="H39" s="62"/>
      <c r="I39" s="7"/>
      <c r="J39" s="7"/>
      <c r="K39" s="7"/>
      <c r="L39" s="5"/>
      <c r="N39" s="14"/>
      <c r="O39" s="202"/>
      <c r="T39" s="5"/>
    </row>
    <row r="40" spans="1:36" s="4" customFormat="1" ht="13.2" thickBot="1" x14ac:dyDescent="0.55000000000000004">
      <c r="A40" s="14"/>
      <c r="B40" s="7"/>
      <c r="C40" s="33"/>
      <c r="D40" s="9"/>
      <c r="E40" s="63"/>
      <c r="F40" s="63"/>
      <c r="G40" s="63"/>
      <c r="H40" s="65"/>
      <c r="I40" s="7"/>
      <c r="J40" s="7"/>
      <c r="K40" s="7"/>
      <c r="L40" s="5"/>
      <c r="N40" s="14"/>
      <c r="O40" s="203"/>
      <c r="T40" s="5"/>
    </row>
    <row r="41" spans="1:36" s="4" customFormat="1" hidden="1" x14ac:dyDescent="0.5">
      <c r="A41" s="14"/>
      <c r="B41" s="7"/>
      <c r="C41" s="33"/>
      <c r="D41" s="11"/>
      <c r="E41" s="7"/>
      <c r="F41" s="69">
        <f>128*29</f>
        <v>3712</v>
      </c>
      <c r="G41" s="7" t="s">
        <v>33</v>
      </c>
      <c r="H41" s="62"/>
      <c r="I41" s="7"/>
      <c r="J41" s="7"/>
      <c r="K41" s="7"/>
      <c r="L41" s="5"/>
      <c r="N41" s="14"/>
      <c r="O41" s="58" t="s">
        <v>89</v>
      </c>
      <c r="P41" s="58">
        <v>265</v>
      </c>
      <c r="Q41" s="138">
        <v>40</v>
      </c>
      <c r="R41" s="138">
        <f t="shared" ref="R41:R43" si="3">+S41*"1.4"</f>
        <v>28</v>
      </c>
      <c r="S41" s="138">
        <v>20</v>
      </c>
      <c r="T41" s="5"/>
    </row>
    <row r="42" spans="1:36" s="4" customFormat="1" hidden="1" x14ac:dyDescent="0.5">
      <c r="A42" s="14"/>
      <c r="B42" s="7"/>
      <c r="C42" s="33"/>
      <c r="D42" s="11"/>
      <c r="E42" s="7"/>
      <c r="F42" s="18">
        <f>+F41*F39</f>
        <v>0</v>
      </c>
      <c r="G42" s="7" t="s">
        <v>34</v>
      </c>
      <c r="H42" s="62"/>
      <c r="I42" s="7"/>
      <c r="J42" s="7"/>
      <c r="K42" s="7"/>
      <c r="L42" s="5"/>
      <c r="N42" s="14"/>
      <c r="O42" s="58" t="s">
        <v>90</v>
      </c>
      <c r="P42" s="58">
        <v>5</v>
      </c>
      <c r="Q42" s="138">
        <v>75</v>
      </c>
      <c r="R42" s="138">
        <f t="shared" si="3"/>
        <v>52.5</v>
      </c>
      <c r="S42" s="138">
        <v>37.5</v>
      </c>
      <c r="T42" s="5"/>
    </row>
    <row r="43" spans="1:36" s="4" customFormat="1" ht="13.2" hidden="1" thickBot="1" x14ac:dyDescent="0.55000000000000004">
      <c r="A43" s="14"/>
      <c r="B43" s="7"/>
      <c r="C43" s="33"/>
      <c r="D43" s="9"/>
      <c r="E43" s="63"/>
      <c r="F43" s="70">
        <f>+F42/30</f>
        <v>0</v>
      </c>
      <c r="G43" s="63" t="s">
        <v>35</v>
      </c>
      <c r="H43" s="65"/>
      <c r="I43" s="7"/>
      <c r="J43" s="7"/>
      <c r="K43" s="7"/>
      <c r="L43" s="5"/>
      <c r="N43" s="14"/>
      <c r="O43" s="58" t="s">
        <v>90</v>
      </c>
      <c r="P43" s="58">
        <v>53</v>
      </c>
      <c r="Q43" s="138">
        <v>65</v>
      </c>
      <c r="R43" s="138">
        <f t="shared" si="3"/>
        <v>45.5</v>
      </c>
      <c r="S43" s="138">
        <v>32.5</v>
      </c>
      <c r="T43" s="5"/>
    </row>
    <row r="44" spans="1:36" s="4" customFormat="1" x14ac:dyDescent="0.5">
      <c r="A44" s="14"/>
      <c r="B44" s="7"/>
      <c r="C44" s="33"/>
      <c r="D44" s="7"/>
      <c r="E44" s="7"/>
      <c r="F44" s="8"/>
      <c r="G44" s="7"/>
      <c r="H44" s="7"/>
      <c r="I44" s="7"/>
      <c r="J44" s="7"/>
      <c r="K44" s="7"/>
      <c r="L44" s="5"/>
      <c r="N44" s="14"/>
      <c r="P44" s="7"/>
      <c r="Q44" s="7"/>
      <c r="R44" s="7"/>
      <c r="S44" s="7"/>
      <c r="T44" s="5"/>
    </row>
    <row r="45" spans="1:36" s="4" customFormat="1" ht="20.399999999999999" x14ac:dyDescent="0.75">
      <c r="A45" s="14"/>
      <c r="B45" s="7"/>
      <c r="C45" s="31"/>
      <c r="D45" s="32" t="s">
        <v>37</v>
      </c>
      <c r="E45" s="7"/>
      <c r="F45" s="71"/>
      <c r="G45" s="7"/>
      <c r="H45" s="7"/>
      <c r="I45" s="7"/>
      <c r="J45" s="7"/>
      <c r="K45" s="7"/>
      <c r="L45" s="5"/>
      <c r="N45" s="14"/>
      <c r="O45" s="53" t="s">
        <v>56</v>
      </c>
      <c r="P45" s="7"/>
      <c r="Q45" s="7"/>
      <c r="R45" s="7"/>
      <c r="S45" s="7"/>
      <c r="T45" s="5"/>
    </row>
    <row r="46" spans="1:36" s="4" customFormat="1" x14ac:dyDescent="0.5">
      <c r="A46" s="14"/>
      <c r="B46" s="7"/>
      <c r="C46" s="31"/>
      <c r="D46" s="7"/>
      <c r="E46" s="34"/>
      <c r="F46" s="72" t="s">
        <v>38</v>
      </c>
      <c r="G46" s="7"/>
      <c r="H46" s="7"/>
      <c r="I46" s="7"/>
      <c r="J46" s="7"/>
      <c r="K46" s="7"/>
      <c r="L46" s="5"/>
      <c r="N46" s="14"/>
      <c r="O46" s="54" t="s">
        <v>87</v>
      </c>
      <c r="P46" s="55" t="s">
        <v>88</v>
      </c>
      <c r="Q46" s="56" t="s">
        <v>84</v>
      </c>
      <c r="R46" s="56" t="s">
        <v>85</v>
      </c>
      <c r="S46" s="56" t="s">
        <v>86</v>
      </c>
      <c r="T46" s="5"/>
    </row>
    <row r="47" spans="1:36" x14ac:dyDescent="0.5">
      <c r="A47" s="14"/>
      <c r="B47" s="7"/>
      <c r="C47" s="33"/>
      <c r="D47" s="7"/>
      <c r="E47" s="163"/>
      <c r="F47" s="27"/>
      <c r="G47" s="7" t="s">
        <v>39</v>
      </c>
      <c r="H47" s="7"/>
      <c r="I47" s="75" t="s">
        <v>91</v>
      </c>
      <c r="J47" s="7"/>
      <c r="K47" s="7"/>
      <c r="L47" s="5"/>
      <c r="M47" s="4"/>
      <c r="N47" s="14"/>
      <c r="O47" s="58" t="s">
        <v>89</v>
      </c>
      <c r="P47" s="58">
        <v>5</v>
      </c>
      <c r="Q47" s="138">
        <v>65</v>
      </c>
      <c r="R47" s="138">
        <f>+S47*"1.4"</f>
        <v>45.5</v>
      </c>
      <c r="S47" s="138">
        <v>32.5</v>
      </c>
      <c r="T47" s="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5">
      <c r="A48" s="14"/>
      <c r="B48" s="7"/>
      <c r="C48" s="33"/>
      <c r="D48" s="7"/>
      <c r="E48" s="7"/>
      <c r="F48" s="28"/>
      <c r="G48" s="7" t="s">
        <v>7</v>
      </c>
      <c r="H48" s="7"/>
      <c r="I48" s="7"/>
      <c r="J48" s="7"/>
      <c r="K48" s="7"/>
      <c r="L48" s="5"/>
      <c r="M48" s="4"/>
      <c r="N48" s="14"/>
      <c r="O48" s="58" t="s">
        <v>89</v>
      </c>
      <c r="P48" s="58">
        <v>55</v>
      </c>
      <c r="Q48" s="138">
        <v>55</v>
      </c>
      <c r="R48" s="138">
        <f>+S48*"1.4"</f>
        <v>38.5</v>
      </c>
      <c r="S48" s="138">
        <v>27.5</v>
      </c>
      <c r="T48" s="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4" customFormat="1" x14ac:dyDescent="0.5">
      <c r="A49" s="14"/>
      <c r="B49" s="7"/>
      <c r="C49" s="33"/>
      <c r="D49" s="7"/>
      <c r="E49" s="8"/>
      <c r="F49" s="1">
        <f>+((F38/3.068)*F47)*F48</f>
        <v>0</v>
      </c>
      <c r="G49" s="7" t="s">
        <v>40</v>
      </c>
      <c r="H49" s="7"/>
      <c r="I49" s="7"/>
      <c r="J49" s="7"/>
      <c r="K49" s="7"/>
      <c r="L49" s="5"/>
      <c r="N49" s="14"/>
      <c r="O49" s="7"/>
      <c r="P49" s="7"/>
      <c r="Q49" s="7"/>
      <c r="R49" s="7"/>
      <c r="S49" s="7"/>
      <c r="T49" s="5"/>
    </row>
    <row r="50" spans="1:36" x14ac:dyDescent="0.5">
      <c r="A50" s="14"/>
      <c r="B50" s="7"/>
      <c r="C50" s="33"/>
      <c r="D50" s="7"/>
      <c r="E50" s="71"/>
      <c r="F50" s="20"/>
      <c r="G50" s="7" t="s">
        <v>41</v>
      </c>
      <c r="H50" s="7"/>
      <c r="I50" s="7"/>
      <c r="J50" s="7"/>
      <c r="K50" s="7"/>
      <c r="L50" s="5"/>
      <c r="M50" s="4"/>
      <c r="N50" s="14"/>
      <c r="O50" s="7"/>
      <c r="P50" s="7"/>
      <c r="Q50" s="7"/>
      <c r="R50" s="7"/>
      <c r="S50" s="7"/>
      <c r="T50" s="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4" customFormat="1" ht="20.399999999999999" x14ac:dyDescent="0.75">
      <c r="A51" s="14"/>
      <c r="B51" s="7"/>
      <c r="C51" s="33"/>
      <c r="D51" s="7"/>
      <c r="E51" s="108"/>
      <c r="F51" s="109">
        <f>+F49*F50</f>
        <v>0</v>
      </c>
      <c r="G51" s="7" t="s">
        <v>8</v>
      </c>
      <c r="H51" s="7"/>
      <c r="I51" s="75" t="s">
        <v>92</v>
      </c>
      <c r="J51" s="7"/>
      <c r="K51" s="7"/>
      <c r="L51" s="5"/>
      <c r="N51" s="14"/>
      <c r="O51" s="53" t="s">
        <v>115</v>
      </c>
      <c r="P51" s="7"/>
      <c r="Q51" s="7"/>
      <c r="R51" s="7"/>
      <c r="S51" s="7"/>
      <c r="T51" s="5"/>
    </row>
    <row r="52" spans="1:36" s="4" customFormat="1" x14ac:dyDescent="0.5">
      <c r="A52" s="14"/>
      <c r="B52" s="7"/>
      <c r="C52" s="33"/>
      <c r="D52" s="7"/>
      <c r="E52" s="110"/>
      <c r="F52" s="111" t="e">
        <f>+F51/F48</f>
        <v>#DIV/0!</v>
      </c>
      <c r="G52" s="7" t="s">
        <v>42</v>
      </c>
      <c r="H52" s="7"/>
      <c r="I52" s="7"/>
      <c r="J52" s="7"/>
      <c r="K52" s="7"/>
      <c r="L52" s="5"/>
      <c r="N52" s="14"/>
      <c r="O52" s="54" t="s">
        <v>87</v>
      </c>
      <c r="P52" s="55" t="s">
        <v>88</v>
      </c>
      <c r="Q52" s="56" t="s">
        <v>84</v>
      </c>
      <c r="R52" s="56" t="s">
        <v>85</v>
      </c>
      <c r="S52" s="56" t="s">
        <v>86</v>
      </c>
      <c r="T52" s="5"/>
    </row>
    <row r="53" spans="1:36" s="4" customFormat="1" x14ac:dyDescent="0.5">
      <c r="A53" s="14"/>
      <c r="B53" s="7"/>
      <c r="C53" s="33"/>
      <c r="D53" s="7"/>
      <c r="E53" s="110"/>
      <c r="F53" s="110"/>
      <c r="G53" s="7"/>
      <c r="H53" s="7"/>
      <c r="I53" s="7"/>
      <c r="J53" s="7"/>
      <c r="K53" s="7"/>
      <c r="L53" s="5"/>
      <c r="N53" s="14"/>
      <c r="O53" s="58" t="s">
        <v>79</v>
      </c>
      <c r="P53" s="73">
        <v>55</v>
      </c>
      <c r="Q53" s="137">
        <v>22.72</v>
      </c>
      <c r="R53" s="137">
        <f t="shared" ref="R53" si="4">+S53*1.2</f>
        <v>18.18</v>
      </c>
      <c r="S53" s="137">
        <v>15.15</v>
      </c>
      <c r="T53" s="5"/>
    </row>
    <row r="54" spans="1:36" s="4" customFormat="1" x14ac:dyDescent="0.5">
      <c r="A54" s="14"/>
      <c r="B54" s="7"/>
      <c r="C54" s="31"/>
      <c r="D54" s="32" t="s">
        <v>44</v>
      </c>
      <c r="E54" s="7"/>
      <c r="F54" s="7"/>
      <c r="G54" s="7"/>
      <c r="H54" s="7"/>
      <c r="I54" s="7"/>
      <c r="J54" s="7"/>
      <c r="K54" s="7"/>
      <c r="L54" s="5"/>
      <c r="N54" s="14"/>
      <c r="O54" s="58" t="s">
        <v>79</v>
      </c>
      <c r="P54" s="73">
        <v>265</v>
      </c>
      <c r="Q54" s="137">
        <v>20.91</v>
      </c>
      <c r="R54" s="137">
        <f>+S54*1.2</f>
        <v>17.099999999999998</v>
      </c>
      <c r="S54" s="137">
        <v>14.25</v>
      </c>
      <c r="T54" s="5"/>
    </row>
    <row r="55" spans="1:36" x14ac:dyDescent="0.5">
      <c r="A55" s="14"/>
      <c r="B55" s="7"/>
      <c r="C55" s="33"/>
      <c r="D55" s="7"/>
      <c r="E55" s="7"/>
      <c r="F55" s="19"/>
      <c r="G55" s="7" t="s">
        <v>45</v>
      </c>
      <c r="H55" s="7"/>
      <c r="I55" s="7"/>
      <c r="J55" s="7"/>
      <c r="K55" s="7"/>
      <c r="L55" s="5"/>
      <c r="M55" s="4"/>
      <c r="N55" s="14"/>
      <c r="O55" s="58" t="s">
        <v>80</v>
      </c>
      <c r="P55" s="73">
        <v>5400</v>
      </c>
      <c r="Q55" s="137">
        <v>20.36</v>
      </c>
      <c r="R55" s="137">
        <f>+S55*1.2</f>
        <v>14.808</v>
      </c>
      <c r="S55" s="137">
        <v>12.34</v>
      </c>
      <c r="T55" s="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4" customFormat="1" x14ac:dyDescent="0.5">
      <c r="A56" s="14"/>
      <c r="B56" s="7"/>
      <c r="C56" s="33"/>
      <c r="D56" s="7"/>
      <c r="E56" s="7"/>
      <c r="F56" s="18" t="e">
        <f>333333/F55</f>
        <v>#DIV/0!</v>
      </c>
      <c r="G56" s="7" t="s">
        <v>46</v>
      </c>
      <c r="H56" s="7"/>
      <c r="I56" s="7"/>
      <c r="J56" s="7"/>
      <c r="K56" s="7"/>
      <c r="L56" s="5"/>
      <c r="N56" s="14"/>
      <c r="O56" s="58" t="s">
        <v>81</v>
      </c>
      <c r="P56" s="73">
        <v>1</v>
      </c>
      <c r="Q56" s="137">
        <v>175</v>
      </c>
      <c r="R56" s="137">
        <v>175</v>
      </c>
      <c r="S56" s="137">
        <v>175</v>
      </c>
      <c r="T56" s="5"/>
    </row>
    <row r="57" spans="1:36" s="4" customFormat="1" x14ac:dyDescent="0.5">
      <c r="A57" s="14"/>
      <c r="B57" s="7"/>
      <c r="C57" s="33"/>
      <c r="D57" s="7"/>
      <c r="E57" s="7"/>
      <c r="F57" s="18" t="e">
        <f>+F42/F56</f>
        <v>#DIV/0!</v>
      </c>
      <c r="G57" s="7" t="s">
        <v>47</v>
      </c>
      <c r="H57" s="7"/>
      <c r="I57" s="7"/>
      <c r="J57" s="7"/>
      <c r="K57" s="7"/>
      <c r="L57" s="5"/>
      <c r="N57" s="14"/>
      <c r="O57" s="58" t="s">
        <v>82</v>
      </c>
      <c r="P57" s="73">
        <v>53</v>
      </c>
      <c r="Q57" s="137">
        <v>27.01</v>
      </c>
      <c r="R57" s="137">
        <f>+S57*1.2</f>
        <v>23.052</v>
      </c>
      <c r="S57" s="137">
        <v>19.21</v>
      </c>
      <c r="T57" s="5"/>
    </row>
    <row r="58" spans="1:36" s="4" customFormat="1" x14ac:dyDescent="0.5">
      <c r="A58" s="14"/>
      <c r="B58" s="7"/>
      <c r="C58" s="33"/>
      <c r="D58" s="7"/>
      <c r="E58" s="7"/>
      <c r="F58" s="1" t="e">
        <f>+F57/30</f>
        <v>#DIV/0!</v>
      </c>
      <c r="G58" s="7" t="s">
        <v>48</v>
      </c>
      <c r="H58" s="7"/>
      <c r="I58" s="7"/>
      <c r="J58" s="7"/>
      <c r="K58" s="7"/>
      <c r="L58" s="5"/>
      <c r="N58" s="14"/>
      <c r="O58" s="58" t="s">
        <v>83</v>
      </c>
      <c r="P58" s="73">
        <v>277.5</v>
      </c>
      <c r="Q58" s="137">
        <v>28.36</v>
      </c>
      <c r="R58" s="137">
        <f>+(4457.2+(441.85*5))/275</f>
        <v>24.241636363636363</v>
      </c>
      <c r="S58" s="137">
        <f>+(3565.76+(353.5*5))/275</f>
        <v>19.39367272727273</v>
      </c>
      <c r="T58" s="5"/>
    </row>
    <row r="59" spans="1:36" s="4" customFormat="1" x14ac:dyDescent="0.5">
      <c r="A59" s="14"/>
      <c r="B59" s="7"/>
      <c r="C59" s="33"/>
      <c r="D59" s="7"/>
      <c r="E59" s="7"/>
      <c r="F59" s="1" t="e">
        <f>+(F58*60)/128</f>
        <v>#DIV/0!</v>
      </c>
      <c r="G59" s="7" t="s">
        <v>70</v>
      </c>
      <c r="H59" s="7"/>
      <c r="I59" s="7"/>
      <c r="J59" s="7"/>
      <c r="K59" s="7"/>
      <c r="L59" s="5"/>
      <c r="N59" s="14"/>
      <c r="O59" s="58" t="s">
        <v>83</v>
      </c>
      <c r="P59" s="73">
        <v>305</v>
      </c>
      <c r="Q59" s="137">
        <v>28.36</v>
      </c>
      <c r="R59" s="137">
        <f>+(4457.2+(441.85*5))/275</f>
        <v>24.241636363636363</v>
      </c>
      <c r="S59" s="137">
        <f>+(3565.76+(353.5*5))/275</f>
        <v>19.39367272727273</v>
      </c>
      <c r="T59" s="5"/>
    </row>
    <row r="60" spans="1:36" x14ac:dyDescent="0.5">
      <c r="A60" s="14"/>
      <c r="B60" s="7"/>
      <c r="C60" s="33"/>
      <c r="D60" s="7"/>
      <c r="E60" s="7"/>
      <c r="F60" s="19"/>
      <c r="G60" s="7" t="s">
        <v>71</v>
      </c>
      <c r="H60" s="7"/>
      <c r="I60" s="7"/>
      <c r="J60" s="7"/>
      <c r="K60" s="7"/>
      <c r="L60" s="5"/>
      <c r="M60" s="4"/>
      <c r="N60" s="14"/>
      <c r="O60" s="7"/>
      <c r="P60" s="7"/>
      <c r="Q60" s="7"/>
      <c r="R60" s="7"/>
      <c r="S60" s="7"/>
      <c r="T60" s="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4" customFormat="1" x14ac:dyDescent="0.5">
      <c r="A61" s="14"/>
      <c r="B61" s="7"/>
      <c r="C61" s="33"/>
      <c r="D61" s="7"/>
      <c r="E61" s="7"/>
      <c r="F61" s="23" t="e">
        <f>+F59/F60</f>
        <v>#DIV/0!</v>
      </c>
      <c r="G61" s="7" t="s">
        <v>72</v>
      </c>
      <c r="H61" s="7"/>
      <c r="I61" s="7"/>
      <c r="J61" s="7"/>
      <c r="K61" s="7"/>
      <c r="L61" s="5"/>
      <c r="N61" s="14"/>
      <c r="O61" s="7"/>
      <c r="P61" s="7"/>
      <c r="Q61" s="7"/>
      <c r="R61" s="7"/>
      <c r="S61" s="7"/>
      <c r="T61" s="5"/>
    </row>
    <row r="62" spans="1:36" s="4" customFormat="1" x14ac:dyDescent="0.5">
      <c r="A62" s="120"/>
      <c r="B62" s="36"/>
      <c r="C62" s="126"/>
      <c r="D62" s="36"/>
      <c r="E62" s="36"/>
      <c r="F62" s="127"/>
      <c r="G62" s="36"/>
      <c r="H62" s="36"/>
      <c r="I62" s="36"/>
      <c r="J62" s="36"/>
      <c r="K62" s="36"/>
      <c r="L62" s="121"/>
      <c r="N62" s="120"/>
      <c r="O62" s="36"/>
      <c r="P62" s="36"/>
      <c r="Q62" s="36"/>
      <c r="R62" s="36"/>
      <c r="S62" s="36"/>
      <c r="T62" s="121"/>
    </row>
    <row r="63" spans="1:36" s="4" customFormat="1" x14ac:dyDescent="0.5"/>
    <row r="64" spans="1:36" s="4" customFormat="1" x14ac:dyDescent="0.5"/>
    <row r="65" s="4" customFormat="1" x14ac:dyDescent="0.5"/>
    <row r="66" s="4" customFormat="1" x14ac:dyDescent="0.5"/>
    <row r="67" s="4" customFormat="1" x14ac:dyDescent="0.5"/>
    <row r="68" s="4" customFormat="1" x14ac:dyDescent="0.5"/>
    <row r="69" s="4" customFormat="1" x14ac:dyDescent="0.5"/>
    <row r="70" s="4" customFormat="1" x14ac:dyDescent="0.5"/>
    <row r="71" s="4" customFormat="1" x14ac:dyDescent="0.5"/>
    <row r="72" s="4" customFormat="1" x14ac:dyDescent="0.5"/>
    <row r="73" s="4" customFormat="1" x14ac:dyDescent="0.5"/>
    <row r="74" s="4" customFormat="1" x14ac:dyDescent="0.5"/>
    <row r="75" s="4" customFormat="1" x14ac:dyDescent="0.5"/>
    <row r="76" s="4" customFormat="1" x14ac:dyDescent="0.5"/>
    <row r="77" s="4" customFormat="1" x14ac:dyDescent="0.5"/>
    <row r="78" s="4" customFormat="1" x14ac:dyDescent="0.5"/>
    <row r="79" s="4" customFormat="1" x14ac:dyDescent="0.5"/>
    <row r="80" s="4" customFormat="1" x14ac:dyDescent="0.5"/>
    <row r="81" s="4" customFormat="1" x14ac:dyDescent="0.5"/>
    <row r="82" s="4" customFormat="1" x14ac:dyDescent="0.5"/>
    <row r="83" s="4" customFormat="1" x14ac:dyDescent="0.5"/>
    <row r="84" s="4" customFormat="1" x14ac:dyDescent="0.5"/>
    <row r="85" s="4" customFormat="1" x14ac:dyDescent="0.5"/>
    <row r="86" s="4" customFormat="1" x14ac:dyDescent="0.5"/>
    <row r="87" s="4" customFormat="1" x14ac:dyDescent="0.5"/>
    <row r="88" s="4" customFormat="1" x14ac:dyDescent="0.5"/>
    <row r="89" s="4" customFormat="1" x14ac:dyDescent="0.5"/>
    <row r="90" s="4" customFormat="1" x14ac:dyDescent="0.5"/>
    <row r="91" s="4" customFormat="1" x14ac:dyDescent="0.5"/>
    <row r="92" s="4" customFormat="1" x14ac:dyDescent="0.5"/>
    <row r="93" s="4" customFormat="1" x14ac:dyDescent="0.5"/>
    <row r="94" s="4" customFormat="1" x14ac:dyDescent="0.5"/>
    <row r="95" s="4" customFormat="1" x14ac:dyDescent="0.5"/>
    <row r="96" s="4" customFormat="1" x14ac:dyDescent="0.5"/>
  </sheetData>
  <sheetProtection selectLockedCells="1"/>
  <mergeCells count="7">
    <mergeCell ref="O38:O40"/>
    <mergeCell ref="D7:H7"/>
    <mergeCell ref="D8:H8"/>
    <mergeCell ref="D9:H9"/>
    <mergeCell ref="D37:E37"/>
    <mergeCell ref="I25:K25"/>
    <mergeCell ref="I23:K23"/>
  </mergeCells>
  <pageMargins left="1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1 - Trmnt Req's</vt:lpstr>
      <vt:lpstr>2 - Splash Blend</vt:lpstr>
      <vt:lpstr>'1 - Trmnt Req''s'!Print_Area</vt:lpstr>
      <vt:lpstr>'2 - Splash Blend'!Print_Area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2020-12-23T13:50:35Z</cp:lastPrinted>
  <dcterms:created xsi:type="dcterms:W3CDTF">2019-02-01T15:51:53Z</dcterms:created>
  <dcterms:modified xsi:type="dcterms:W3CDTF">2021-01-19T17:08:13Z</dcterms:modified>
</cp:coreProperties>
</file>